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2"/>
  </bookViews>
  <sheets>
    <sheet name="Инпути" sheetId="1" r:id="rId1"/>
    <sheet name="FCFF" sheetId="2" r:id="rId2"/>
    <sheet name="Множиоци" sheetId="3" r:id="rId3"/>
    <sheet name="Нормализовани FCFF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  <c r="A46" i="1" l="1"/>
  <c r="L9" i="4" l="1"/>
  <c r="K9" i="4"/>
  <c r="J9" i="4"/>
  <c r="I9" i="4"/>
  <c r="H9" i="4"/>
  <c r="G9" i="4"/>
  <c r="F9" i="4"/>
  <c r="E9" i="4"/>
  <c r="D9" i="4"/>
  <c r="M9" i="2" l="1"/>
  <c r="M9" i="4"/>
  <c r="D55" i="4" l="1"/>
  <c r="C55" i="4"/>
  <c r="B56" i="4"/>
  <c r="B55" i="4"/>
  <c r="E55" i="4" l="1"/>
  <c r="F55" i="4"/>
  <c r="A56" i="4"/>
  <c r="A55" i="4"/>
  <c r="G55" i="4" l="1"/>
  <c r="A53" i="4"/>
  <c r="H55" i="4" l="1"/>
  <c r="C34" i="2"/>
  <c r="I55" i="4" l="1"/>
  <c r="H56" i="4"/>
  <c r="B35" i="2"/>
  <c r="F11" i="1"/>
  <c r="E11" i="1"/>
  <c r="D11" i="1"/>
  <c r="J55" i="4" l="1"/>
  <c r="I56" i="4"/>
  <c r="C11" i="1"/>
  <c r="K55" i="4" l="1"/>
  <c r="J56" i="4"/>
  <c r="B34" i="2"/>
  <c r="A35" i="2"/>
  <c r="A34" i="2"/>
  <c r="L55" i="4" l="1"/>
  <c r="L56" i="4" s="1"/>
  <c r="K56" i="4"/>
  <c r="K10" i="4" l="1"/>
  <c r="H43" i="4" l="1"/>
  <c r="G51" i="4"/>
  <c r="F51" i="4"/>
  <c r="E51" i="4"/>
  <c r="D51" i="4"/>
  <c r="C51" i="4"/>
  <c r="B51" i="4"/>
  <c r="F50" i="4"/>
  <c r="E50" i="4"/>
  <c r="D50" i="4"/>
  <c r="C50" i="4"/>
  <c r="B50" i="4"/>
  <c r="F49" i="4"/>
  <c r="E49" i="4"/>
  <c r="D49" i="4"/>
  <c r="C49" i="4"/>
  <c r="B49" i="4"/>
  <c r="F46" i="4" l="1"/>
  <c r="E46" i="4"/>
  <c r="D46" i="4"/>
  <c r="C46" i="4"/>
  <c r="B46" i="4"/>
  <c r="F39" i="4" l="1"/>
  <c r="E39" i="4"/>
  <c r="D39" i="4"/>
  <c r="C39" i="4"/>
  <c r="B39" i="4"/>
  <c r="G39" i="4" l="1"/>
  <c r="F38" i="4"/>
  <c r="E38" i="4"/>
  <c r="D38" i="4"/>
  <c r="C38" i="4"/>
  <c r="B38" i="4"/>
  <c r="B20" i="4" l="1"/>
  <c r="A20" i="4"/>
  <c r="B18" i="4"/>
  <c r="A18" i="4"/>
  <c r="G12" i="4"/>
  <c r="E12" i="4"/>
  <c r="C12" i="4"/>
  <c r="M11" i="4"/>
  <c r="L11" i="4"/>
  <c r="L12" i="4" s="1"/>
  <c r="J11" i="4"/>
  <c r="J12" i="4" s="1"/>
  <c r="H11" i="4"/>
  <c r="H12" i="4" s="1"/>
  <c r="G11" i="4"/>
  <c r="K11" i="4" s="1"/>
  <c r="K12" i="4" s="1"/>
  <c r="F11" i="4"/>
  <c r="F12" i="4" s="1"/>
  <c r="E11" i="4"/>
  <c r="D11" i="4"/>
  <c r="D12" i="4" s="1"/>
  <c r="C11" i="4"/>
  <c r="C7" i="4"/>
  <c r="D7" i="4" s="1"/>
  <c r="E7" i="4" s="1"/>
  <c r="F7" i="4" s="1"/>
  <c r="G7" i="4" s="1"/>
  <c r="H7" i="4" s="1"/>
  <c r="I7" i="4" s="1"/>
  <c r="J7" i="4" s="1"/>
  <c r="K7" i="4" s="1"/>
  <c r="L7" i="4" s="1"/>
  <c r="M7" i="4" s="1"/>
  <c r="A7" i="4"/>
  <c r="B6" i="4"/>
  <c r="A6" i="4"/>
  <c r="M5" i="4"/>
  <c r="L5" i="4"/>
  <c r="K5" i="4"/>
  <c r="J5" i="4"/>
  <c r="I5" i="4"/>
  <c r="H5" i="4"/>
  <c r="G5" i="4"/>
  <c r="F5" i="4"/>
  <c r="E5" i="4"/>
  <c r="D5" i="4"/>
  <c r="A5" i="4"/>
  <c r="B4" i="4"/>
  <c r="A4" i="4"/>
  <c r="M3" i="4"/>
  <c r="I3" i="4"/>
  <c r="G3" i="4"/>
  <c r="F3" i="4"/>
  <c r="E3" i="4"/>
  <c r="D3" i="4"/>
  <c r="C3" i="4"/>
  <c r="A3" i="4"/>
  <c r="B5" i="4" l="1"/>
  <c r="C4" i="4"/>
  <c r="L3" i="4"/>
  <c r="J3" i="4"/>
  <c r="H3" i="4"/>
  <c r="K3" i="4"/>
  <c r="I11" i="4"/>
  <c r="I12" i="4" s="1"/>
  <c r="F13" i="3"/>
  <c r="C6" i="4" l="1"/>
  <c r="C8" i="4" s="1"/>
  <c r="D4" i="4"/>
  <c r="F12" i="3"/>
  <c r="C10" i="4" l="1"/>
  <c r="C13" i="4" s="1"/>
  <c r="C56" i="4"/>
  <c r="E4" i="4"/>
  <c r="D6" i="4"/>
  <c r="D8" i="4" s="1"/>
  <c r="F11" i="3"/>
  <c r="D10" i="4" l="1"/>
  <c r="D13" i="4" s="1"/>
  <c r="D56" i="4"/>
  <c r="E6" i="4"/>
  <c r="E8" i="4" s="1"/>
  <c r="E56" i="4" s="1"/>
  <c r="F4" i="4"/>
  <c r="F6" i="3"/>
  <c r="G4" i="4" l="1"/>
  <c r="F6" i="4"/>
  <c r="F8" i="4" s="1"/>
  <c r="F56" i="4" s="1"/>
  <c r="E10" i="4"/>
  <c r="E13" i="4" s="1"/>
  <c r="F5" i="3"/>
  <c r="F10" i="4" l="1"/>
  <c r="F13" i="4" s="1"/>
  <c r="G6" i="4"/>
  <c r="G8" i="4" s="1"/>
  <c r="H4" i="4"/>
  <c r="F4" i="3"/>
  <c r="G10" i="4" l="1"/>
  <c r="G13" i="4" s="1"/>
  <c r="G56" i="4"/>
  <c r="I4" i="4"/>
  <c r="H6" i="4"/>
  <c r="H8" i="4" s="1"/>
  <c r="F10" i="3"/>
  <c r="C10" i="3"/>
  <c r="H10" i="4" l="1"/>
  <c r="H13" i="4" s="1"/>
  <c r="I6" i="4"/>
  <c r="I8" i="4" s="1"/>
  <c r="J4" i="4"/>
  <c r="F9" i="3"/>
  <c r="F2" i="3"/>
  <c r="K4" i="4" l="1"/>
  <c r="J6" i="4"/>
  <c r="J8" i="4" s="1"/>
  <c r="I10" i="4"/>
  <c r="I13" i="4" s="1"/>
  <c r="G5" i="2"/>
  <c r="F5" i="2"/>
  <c r="E5" i="2"/>
  <c r="D5" i="2"/>
  <c r="J10" i="4" l="1"/>
  <c r="J13" i="4" s="1"/>
  <c r="K6" i="4"/>
  <c r="K8" i="4" s="1"/>
  <c r="L4" i="4"/>
  <c r="C3" i="2"/>
  <c r="M4" i="4" l="1"/>
  <c r="M6" i="4" s="1"/>
  <c r="M8" i="4" s="1"/>
  <c r="L6" i="4"/>
  <c r="L8" i="4" s="1"/>
  <c r="K13" i="4"/>
  <c r="B44" i="1"/>
  <c r="L10" i="4" l="1"/>
  <c r="L13" i="4" s="1"/>
  <c r="B15" i="4" s="1"/>
  <c r="M10" i="4"/>
  <c r="M13" i="4" s="1"/>
  <c r="B16" i="4" s="1"/>
  <c r="B30" i="1"/>
  <c r="B17" i="4" l="1"/>
  <c r="B24" i="1"/>
  <c r="B27" i="4" l="1"/>
  <c r="B22" i="4"/>
  <c r="B23" i="4" s="1"/>
  <c r="G6" i="1"/>
  <c r="G4" i="1"/>
  <c r="B25" i="4" l="1"/>
  <c r="B29" i="4"/>
  <c r="B31" i="4" s="1"/>
  <c r="B26" i="4"/>
  <c r="B24" i="4"/>
  <c r="B13" i="3"/>
  <c r="D13" i="3" s="1"/>
  <c r="E13" i="3" s="1"/>
  <c r="D6" i="3"/>
  <c r="E6" i="3" s="1"/>
  <c r="A13" i="3"/>
  <c r="A12" i="3" l="1"/>
  <c r="A11" i="3"/>
  <c r="A10" i="3"/>
  <c r="E9" i="3"/>
  <c r="D9" i="3"/>
  <c r="C9" i="3"/>
  <c r="B9" i="3"/>
  <c r="A9" i="3"/>
  <c r="B5" i="3" l="1"/>
  <c r="A5" i="3"/>
  <c r="B4" i="3"/>
  <c r="A4" i="3"/>
  <c r="B3" i="3"/>
  <c r="A3" i="3"/>
  <c r="B12" i="3" l="1"/>
  <c r="D12" i="3" s="1"/>
  <c r="E12" i="3" s="1"/>
  <c r="D5" i="3"/>
  <c r="E5" i="3" s="1"/>
  <c r="B11" i="3"/>
  <c r="D11" i="3" s="1"/>
  <c r="E11" i="3" s="1"/>
  <c r="D4" i="3"/>
  <c r="E4" i="3" s="1"/>
  <c r="B10" i="3"/>
  <c r="D10" i="3" s="1"/>
  <c r="E10" i="3" s="1"/>
  <c r="D3" i="3"/>
  <c r="B20" i="2"/>
  <c r="B18" i="2"/>
  <c r="E3" i="3" l="1"/>
  <c r="F3" i="3"/>
  <c r="A20" i="2"/>
  <c r="A18" i="2" l="1"/>
  <c r="M11" i="2" l="1"/>
  <c r="M7" i="2" l="1"/>
  <c r="L7" i="2"/>
  <c r="K7" i="2"/>
  <c r="J7" i="2"/>
  <c r="I7" i="2"/>
  <c r="H7" i="2"/>
  <c r="G7" i="2"/>
  <c r="F7" i="2"/>
  <c r="E7" i="2"/>
  <c r="D7" i="2"/>
  <c r="C7" i="2" l="1"/>
  <c r="A7" i="2" l="1"/>
  <c r="M5" i="2" l="1"/>
  <c r="L5" i="2"/>
  <c r="K5" i="2"/>
  <c r="J5" i="2"/>
  <c r="I5" i="2"/>
  <c r="H5" i="2"/>
  <c r="B6" i="2" l="1"/>
  <c r="A6" i="2" l="1"/>
  <c r="A5" i="2" l="1"/>
  <c r="B4" i="2" l="1"/>
  <c r="B5" i="2" s="1"/>
  <c r="A4" i="2"/>
  <c r="M3" i="2" l="1"/>
  <c r="A3" i="2" l="1"/>
  <c r="K18" i="1" l="1"/>
  <c r="L16" i="1" l="1"/>
  <c r="K16" i="1"/>
  <c r="M16" i="1" l="1"/>
  <c r="L17" i="1"/>
  <c r="K17" i="1"/>
  <c r="L15" i="1"/>
  <c r="K15" i="1"/>
  <c r="M17" i="1" l="1"/>
  <c r="B36" i="1"/>
  <c r="L18" i="1" s="1"/>
  <c r="M18" i="1" s="1"/>
  <c r="A35" i="1"/>
  <c r="B34" i="1"/>
  <c r="A34" i="1"/>
  <c r="G11" i="2" l="1"/>
  <c r="E11" i="2"/>
  <c r="E12" i="2" s="1"/>
  <c r="C11" i="2"/>
  <c r="C12" i="2" s="1"/>
  <c r="F11" i="2"/>
  <c r="F12" i="2" s="1"/>
  <c r="D11" i="2"/>
  <c r="D12" i="2" s="1"/>
  <c r="B29" i="1"/>
  <c r="B31" i="1" s="1"/>
  <c r="A29" i="1"/>
  <c r="G12" i="2" l="1"/>
  <c r="L11" i="2"/>
  <c r="L12" i="2" s="1"/>
  <c r="J11" i="2"/>
  <c r="J12" i="2" s="1"/>
  <c r="H11" i="2"/>
  <c r="H12" i="2" s="1"/>
  <c r="K11" i="2"/>
  <c r="K12" i="2" s="1"/>
  <c r="I11" i="2"/>
  <c r="I12" i="2" s="1"/>
  <c r="B21" i="1" l="1"/>
  <c r="B20" i="1"/>
  <c r="B22" i="1" l="1"/>
  <c r="F10" i="1"/>
  <c r="E10" i="1"/>
  <c r="D10" i="1"/>
  <c r="C10" i="1"/>
  <c r="B10" i="1"/>
  <c r="G12" i="1" l="1"/>
  <c r="F6" i="1"/>
  <c r="E6" i="1"/>
  <c r="D6" i="1"/>
  <c r="C6" i="1"/>
  <c r="B6" i="1"/>
  <c r="F4" i="1" l="1"/>
  <c r="E4" i="1"/>
  <c r="D4" i="1"/>
  <c r="C4" i="1"/>
  <c r="G3" i="2" l="1"/>
  <c r="E3" i="2"/>
  <c r="C4" i="2"/>
  <c r="F3" i="2"/>
  <c r="D3" i="2"/>
  <c r="C6" i="2" l="1"/>
  <c r="C8" i="2" s="1"/>
  <c r="C35" i="2" s="1"/>
  <c r="D4" i="2"/>
  <c r="C10" i="2"/>
  <c r="C13" i="2" s="1"/>
  <c r="L3" i="2"/>
  <c r="J3" i="2"/>
  <c r="K3" i="2"/>
  <c r="I3" i="2"/>
  <c r="H3" i="2"/>
  <c r="D6" i="2" l="1"/>
  <c r="D8" i="2" s="1"/>
  <c r="E4" i="2"/>
  <c r="D9" i="2"/>
  <c r="D10" i="2" l="1"/>
  <c r="D13" i="2" s="1"/>
  <c r="D34" i="2"/>
  <c r="D35" i="2" s="1"/>
  <c r="E6" i="2"/>
  <c r="E8" i="2" s="1"/>
  <c r="F4" i="2"/>
  <c r="E9" i="2"/>
  <c r="E10" i="2" s="1"/>
  <c r="E13" i="2" s="1"/>
  <c r="E34" i="2" l="1"/>
  <c r="F6" i="2"/>
  <c r="F8" i="2" s="1"/>
  <c r="G4" i="2"/>
  <c r="F9" i="2"/>
  <c r="F10" i="2" s="1"/>
  <c r="F13" i="2" s="1"/>
  <c r="F34" i="2" l="1"/>
  <c r="E35" i="2"/>
  <c r="G6" i="2"/>
  <c r="G8" i="2" s="1"/>
  <c r="H4" i="2"/>
  <c r="G9" i="2"/>
  <c r="G10" i="2" s="1"/>
  <c r="G13" i="2" s="1"/>
  <c r="G34" i="2" l="1"/>
  <c r="F35" i="2"/>
  <c r="G35" i="2"/>
  <c r="H6" i="2"/>
  <c r="H8" i="2" s="1"/>
  <c r="I4" i="2"/>
  <c r="H9" i="2"/>
  <c r="H10" i="2" s="1"/>
  <c r="H13" i="2" s="1"/>
  <c r="H34" i="2" l="1"/>
  <c r="I6" i="2"/>
  <c r="I8" i="2" s="1"/>
  <c r="J4" i="2"/>
  <c r="I9" i="2"/>
  <c r="I10" i="2" s="1"/>
  <c r="I13" i="2" s="1"/>
  <c r="I34" i="2" l="1"/>
  <c r="H35" i="2"/>
  <c r="J6" i="2"/>
  <c r="J8" i="2" s="1"/>
  <c r="K4" i="2"/>
  <c r="J9" i="2"/>
  <c r="J10" i="2" s="1"/>
  <c r="J13" i="2" s="1"/>
  <c r="J34" i="2" l="1"/>
  <c r="I35" i="2"/>
  <c r="K6" i="2"/>
  <c r="K8" i="2" s="1"/>
  <c r="L4" i="2"/>
  <c r="K9" i="2"/>
  <c r="K10" i="2" s="1"/>
  <c r="K13" i="2" s="1"/>
  <c r="K34" i="2" l="1"/>
  <c r="J35" i="2"/>
  <c r="L6" i="2"/>
  <c r="L8" i="2" s="1"/>
  <c r="M4" i="2"/>
  <c r="M6" i="2" s="1"/>
  <c r="M8" i="2" s="1"/>
  <c r="L9" i="2"/>
  <c r="L10" i="2" s="1"/>
  <c r="L13" i="2" s="1"/>
  <c r="B15" i="2" s="1"/>
  <c r="L34" i="2" l="1"/>
  <c r="L35" i="2" s="1"/>
  <c r="K35" i="2"/>
  <c r="M10" i="2"/>
  <c r="M13" i="2" s="1"/>
  <c r="B16" i="2" s="1"/>
  <c r="B17" i="2" s="1"/>
  <c r="B27" i="2" l="1"/>
  <c r="B22" i="2"/>
  <c r="B23" i="2" s="1"/>
  <c r="B29" i="2" s="1"/>
  <c r="B31" i="2" s="1"/>
  <c r="B26" i="2" l="1"/>
  <c r="B24" i="2"/>
  <c r="B25" i="2"/>
</calcChain>
</file>

<file path=xl/comments1.xml><?xml version="1.0" encoding="utf-8"?>
<comments xmlns="http://schemas.openxmlformats.org/spreadsheetml/2006/main">
  <authors>
    <author>Drazenko Lukac</author>
  </authors>
  <commentList>
    <comment ref="G2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Размотрити планове, прошла остварења, секторске просеке и будуће изгледе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Принос на дугорочне државне обавезнице у еврима</t>
        </r>
      </text>
    </comment>
    <comment ref="A18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Секторска нелеверована бета коригована за кеш тржишта у настајању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Могуће је користити и каматну стопу из недавног задуживања предузећа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Ако је потребно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Просек за сектор тржишта у настајању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Просек за сектор на тржиштима у настајању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Просек за сектор</t>
        </r>
      </text>
    </comment>
  </commentList>
</comments>
</file>

<file path=xl/comments2.xml><?xml version="1.0" encoding="utf-8"?>
<comments xmlns="http://schemas.openxmlformats.org/spreadsheetml/2006/main">
  <authors>
    <author>Drazenko Lukac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Претпоставка је да стопа раста прихода након пете године равномерно конвергира на стопу раста која је једнака безризичној стопи која се користи у процени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 Претпоставка је да EBIT маржа конвергира за пет година на EBIT маржу упоредивих предузећа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У обрачуну реинвестиција као ROIC је могуће користити циљни ROIC, цену капитала из терминалне године и пројектовану ROIC ово је ствар просуђивања стопа која се користи не би требало да је много већа од цене капитала у терминалној години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Као цену капитала у терминалном периоду могуће је користити и безризичну стопу плус 4,5% као неко својеврсно правило палца али се оно пре свега односи на развијена тржишта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 Дисконтовање се врши средином периода</t>
        </r>
      </text>
    </comment>
    <comment ref="M13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 Терминална вредност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По потреби укључити и орочена средства које је предузеће класификовало као краткорочне или остале финансијске пласмане</t>
        </r>
      </text>
    </comment>
  </commentList>
</comments>
</file>

<file path=xl/comments3.xml><?xml version="1.0" encoding="utf-8"?>
<comments xmlns="http://schemas.openxmlformats.org/spreadsheetml/2006/main">
  <authors>
    <author>Drazenko Lukac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 Подаци из последњег финансијског извештаја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Секторски просек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Коришћен предвиђени множиоц за сектор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Коришћен предвиђени просечни множиоц за сектор</t>
        </r>
      </text>
    </comment>
  </commentList>
</comments>
</file>

<file path=xl/comments4.xml><?xml version="1.0" encoding="utf-8"?>
<comments xmlns="http://schemas.openxmlformats.org/spreadsheetml/2006/main">
  <authors>
    <author>Drazenko Lukac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Претпоставка је да стопа раста прихода након пете године равномерно конвергира на стопу раста која је једнака безризичној стопи која се користи у процени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 Претпоставка је да EBIT маржа конвергира за пет година на EBIT маржу упоредивих предузећа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У обрачуну реинвестиција као ROIC је могуће користити циљни ROIC, цену капитала из терминалне године и пројектовану ROIC ово је ствар просуђивања стопа која се користи не би требало да је много већа од цене капитала у терминалној години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 Као цену капитала у терминалном периоду могуће је користити и безризичну стопу плус 4,5% као неко својеврсно правило палца али се оно пре свега односи на развијена тржишта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Дисконтовање се врши средином периода</t>
        </r>
      </text>
    </comment>
    <comment ref="M13" authorId="0">
      <text>
        <r>
          <rPr>
            <b/>
            <sz val="9"/>
            <color indexed="81"/>
            <rFont val="Tahoma"/>
            <family val="2"/>
          </rPr>
          <t>Drazenko Lukac:</t>
        </r>
        <r>
          <rPr>
            <sz val="9"/>
            <color indexed="81"/>
            <rFont val="Tahoma"/>
            <family val="2"/>
          </rPr>
          <t xml:space="preserve">
Терминална вредност</t>
        </r>
      </text>
    </comment>
  </commentList>
</comments>
</file>

<file path=xl/sharedStrings.xml><?xml version="1.0" encoding="utf-8"?>
<sst xmlns="http://schemas.openxmlformats.org/spreadsheetml/2006/main" count="127" uniqueCount="95">
  <si>
    <t>у 000 рсд, у %, у коеф</t>
  </si>
  <si>
    <t>Очекивано</t>
  </si>
  <si>
    <t>Приходи</t>
  </si>
  <si>
    <t>Стопа раста прихода</t>
  </si>
  <si>
    <t>EBIT</t>
  </si>
  <si>
    <t>EBIT маржа</t>
  </si>
  <si>
    <t>Сопствени капитал</t>
  </si>
  <si>
    <t>Дуг</t>
  </si>
  <si>
    <t>Инвестирани капитал</t>
  </si>
  <si>
    <t>ROIC</t>
  </si>
  <si>
    <t>Коефицијент обрта инвестираног капитала</t>
  </si>
  <si>
    <t>Готовински еквиваленти и готовина</t>
  </si>
  <si>
    <t>Обрачун цене сосптвеног капитала</t>
  </si>
  <si>
    <t>Безризична стопа</t>
  </si>
  <si>
    <t>Премија за тржишни ризик</t>
  </si>
  <si>
    <t>Нелеверована бета</t>
  </si>
  <si>
    <t>Стопа пореза</t>
  </si>
  <si>
    <t>Учешће дуга</t>
  </si>
  <si>
    <t>Учешће сопственог капитала</t>
  </si>
  <si>
    <t>Леверована бета</t>
  </si>
  <si>
    <t>Премија за ризик земље</t>
  </si>
  <si>
    <t>Цена сопственог капитала</t>
  </si>
  <si>
    <t>у %, у коеф</t>
  </si>
  <si>
    <t>Обрачун цене дуга</t>
  </si>
  <si>
    <t>у %, у коеф, у 000 рсд, рејтинг</t>
  </si>
  <si>
    <t>Расходи камате</t>
  </si>
  <si>
    <t>Рацио покрића камате</t>
  </si>
  <si>
    <t>Рејтинг</t>
  </si>
  <si>
    <t>Цена дуга</t>
  </si>
  <si>
    <t>Премија за ризик предузећа</t>
  </si>
  <si>
    <t>Обрачун WACC</t>
  </si>
  <si>
    <t>у %, у 000 рсд</t>
  </si>
  <si>
    <t>Капитал</t>
  </si>
  <si>
    <t>Књиговодствена вредност</t>
  </si>
  <si>
    <t>Пондер у цени капитала</t>
  </si>
  <si>
    <t>Цена компоненте</t>
  </si>
  <si>
    <t xml:space="preserve">у %, </t>
  </si>
  <si>
    <t>Цена капитала у терминалном периоду</t>
  </si>
  <si>
    <t>Циљна EBIT маржа</t>
  </si>
  <si>
    <t>Процена  вредности сопственог капитала</t>
  </si>
  <si>
    <t>Базна година</t>
  </si>
  <si>
    <t>Терминална година</t>
  </si>
  <si>
    <t>у еврима, у %, у коеф</t>
  </si>
  <si>
    <t>Ефективна пореска стопа</t>
  </si>
  <si>
    <t>EBIT(1-t)</t>
  </si>
  <si>
    <t>Реинвестиције</t>
  </si>
  <si>
    <t>Циљни ROIC</t>
  </si>
  <si>
    <t>FCFF</t>
  </si>
  <si>
    <t>Цена капитала</t>
  </si>
  <si>
    <t>Кумулативни дисконтни фактор</t>
  </si>
  <si>
    <t>Садашња вредност FCFF</t>
  </si>
  <si>
    <t>Укупна садашња вредност FCFE до 2029</t>
  </si>
  <si>
    <t>Садашња вредност терминалне вредности</t>
  </si>
  <si>
    <t>Вредност пословне имовине</t>
  </si>
  <si>
    <t>Мањински интерес</t>
  </si>
  <si>
    <t>Непословна имовина</t>
  </si>
  <si>
    <t xml:space="preserve">Вредност сопственог капитала </t>
  </si>
  <si>
    <t>Вредност сопственог капитала у рсд</t>
  </si>
  <si>
    <t>Процењени P/B рацио</t>
  </si>
  <si>
    <t>Нето добитак</t>
  </si>
  <si>
    <t>Процењени P/E рацио</t>
  </si>
  <si>
    <t>Процењени P/S рацио</t>
  </si>
  <si>
    <t>Релативно вредновање множиоци Европа</t>
  </si>
  <si>
    <t>Позиција</t>
  </si>
  <si>
    <t>Износ у 000 рсд</t>
  </si>
  <si>
    <t>Вредност сопственог капитала у еврима</t>
  </si>
  <si>
    <t>Релативно вредновање множиоци тржишта у настајању</t>
  </si>
  <si>
    <t>Множиоци</t>
  </si>
  <si>
    <t>EBITDA</t>
  </si>
  <si>
    <t>Процењени EV/EBITDA рацио</t>
  </si>
  <si>
    <t>Остале претпоставке и подаци</t>
  </si>
  <si>
    <t>A2/A</t>
  </si>
  <si>
    <t>EUR/РСД 26.08.2020</t>
  </si>
  <si>
    <t>Број акција</t>
  </si>
  <si>
    <t>Процењена цена акција у рсд</t>
  </si>
  <si>
    <t>Текућа цена акција</t>
  </si>
  <si>
    <t>% цене акција према вредности</t>
  </si>
  <si>
    <t>Обрачун нормализованих капиталних издатака</t>
  </si>
  <si>
    <t>у 000 рсд, у %</t>
  </si>
  <si>
    <t>Просек</t>
  </si>
  <si>
    <t>Капитални издаци</t>
  </si>
  <si>
    <t>Трошкови амортизације</t>
  </si>
  <si>
    <t>Нето капитални издаци / Приходи</t>
  </si>
  <si>
    <t>Привредна грана</t>
  </si>
  <si>
    <t>Обрачун промена на обртном капиталу</t>
  </si>
  <si>
    <t>Обртна имовина</t>
  </si>
  <si>
    <t>Краткорочни финансијски пласмани</t>
  </si>
  <si>
    <t>Краткорочне обавезе</t>
  </si>
  <si>
    <t>Краткорочне финансијске обавезе</t>
  </si>
  <si>
    <t>Нето обртни капитал</t>
  </si>
  <si>
    <t xml:space="preserve">Нето обртни капитал / Приходи </t>
  </si>
  <si>
    <t xml:space="preserve">Приходи </t>
  </si>
  <si>
    <t>Пројектовани ROIC</t>
  </si>
  <si>
    <t xml:space="preserve">у еврима, у %, </t>
  </si>
  <si>
    <t>Стопа раста прихода, EBIT маржа, Коефицијент обрта инвестираног капитала, ROIC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</si>
</sst>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rgb="FF00206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0" borderId="0" xfId="0" applyFont="1" applyAlignment="1">
      <alignment wrapText="1"/>
    </xf>
    <xf numFmtId="3" fontId="1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0" fontId="4" fillId="0" borderId="0" xfId="0" applyFont="1"/>
    <xf numFmtId="0" fontId="6" fillId="2" borderId="0" xfId="0" applyFont="1" applyFill="1"/>
    <xf numFmtId="0" fontId="5" fillId="2" borderId="0" xfId="0" applyFont="1" applyFill="1"/>
    <xf numFmtId="2" fontId="1" fillId="0" borderId="0" xfId="0" applyNumberFormat="1" applyFont="1"/>
    <xf numFmtId="0" fontId="0" fillId="2" borderId="0" xfId="0" applyFill="1"/>
    <xf numFmtId="9" fontId="1" fillId="0" borderId="0" xfId="0" applyNumberFormat="1" applyFont="1"/>
    <xf numFmtId="3" fontId="7" fillId="0" borderId="0" xfId="0" applyNumberFormat="1" applyFont="1"/>
    <xf numFmtId="10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10" fontId="8" fillId="0" borderId="0" xfId="0" applyNumberFormat="1" applyFont="1"/>
    <xf numFmtId="164" fontId="1" fillId="0" borderId="0" xfId="0" applyNumberFormat="1" applyFont="1"/>
    <xf numFmtId="0" fontId="2" fillId="4" borderId="0" xfId="0" applyFont="1" applyFill="1"/>
    <xf numFmtId="2" fontId="7" fillId="0" borderId="0" xfId="0" applyNumberFormat="1" applyFont="1"/>
    <xf numFmtId="3" fontId="7" fillId="3" borderId="0" xfId="0" applyNumberFormat="1" applyFont="1" applyFill="1"/>
    <xf numFmtId="0" fontId="3" fillId="0" borderId="0" xfId="0" applyFont="1" applyFill="1"/>
    <xf numFmtId="0" fontId="3" fillId="3" borderId="0" xfId="0" applyFont="1" applyFill="1" applyAlignment="1"/>
    <xf numFmtId="0" fontId="0" fillId="0" borderId="0" xfId="0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razenko Lukac" id="{1BB2C9D5-8C30-4791-8141-01FC92C95FF6}" userId="Drazenko Lukac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" dT="2020-08-14T09:10:18.94" personId="{1BB2C9D5-8C30-4791-8141-01FC92C95FF6}" id="{07833E62-799D-46A3-B21D-C82E542351B1}">
    <text>Рзмотрити планове, прошла остварења, секторске просеке и будуће изгледе</text>
  </threadedComment>
  <threadedComment ref="A16" dT="2020-08-20T07:15:35.92" personId="{1BB2C9D5-8C30-4791-8141-01FC92C95FF6}" id="{7157DBA6-9816-4E5F-A259-AE65CEE6786A}">
    <text>Принос на дугорочне државне обвезнице у еврима</text>
  </threadedComment>
  <threadedComment ref="A18" dT="2020-08-20T07:16:43.15" personId="{1BB2C9D5-8C30-4791-8141-01FC92C95FF6}" id="{587D0FEB-E123-4D63-9817-A470B4257C38}">
    <text>Секторска нелеверована бета коригована за кеш тржишта у настајању</text>
  </threadedComment>
  <threadedComment ref="A27" dT="2020-08-18T09:19:21.27" personId="{1BB2C9D5-8C30-4791-8141-01FC92C95FF6}" id="{D91C0367-7421-4776-8963-9A07DD89BE89}">
    <text>Могуће је користити и каматну стопу из недавног задуживања предузећа</text>
  </threadedComment>
  <threadedComment ref="A35" dT="2020-08-18T09:16:29.64" personId="{1BB2C9D5-8C30-4791-8141-01FC92C95FF6}" id="{315E9643-8194-45C3-82D3-18AB23E614F8}">
    <text>Ако је потребно</text>
  </threadedComment>
  <threadedComment ref="A42" dT="2020-08-30T07:41:22.68" personId="{1BB2C9D5-8C30-4791-8141-01FC92C95FF6}" id="{C18BE42B-F2D8-4430-B46E-157AC4500A1E}">
    <text>Просек за сектор тржишта у настајању</text>
  </threadedComment>
  <threadedComment ref="A45" dT="2020-08-30T07:21:58.29" personId="{1BB2C9D5-8C30-4791-8141-01FC92C95FF6}" id="{B055D863-BE3B-4FA5-9FE5-DF9D293F86DF}">
    <text>Просек за сектор на тржиштима у настајању</text>
  </threadedComment>
  <threadedComment ref="A46" dT="2020-09-06T07:52:34.61" personId="{1BB2C9D5-8C30-4791-8141-01FC92C95FF6}" id="{C7F3C502-ECE4-4482-AE5D-EC41750D5BFC}">
    <text>Просек за сектор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3" dT="2020-08-18T16:34:45.37" personId="{1BB2C9D5-8C30-4791-8141-01FC92C95FF6}" id="{118CF9C8-377C-47AC-860B-B29CFA1DF185}">
    <text>Претпоставка је да стопа раста прихода након пете године равномерно конвергира на стопу раста која је једнака безризичној стопи која се користи у процени</text>
  </threadedComment>
  <threadedComment ref="A5" dT="2020-08-18T17:17:29.45" personId="{1BB2C9D5-8C30-4791-8141-01FC92C95FF6}" id="{A2167FCF-9789-469D-AB48-89311AD246B5}">
    <text>Претпоставка је да EBIT маржа конвергира за пет година на EBIT маржу упоредивих предузећа</text>
  </threadedComment>
  <threadedComment ref="M9" dT="2020-09-05T08:14:21.70" personId="{1BB2C9D5-8C30-4791-8141-01FC92C95FF6}" id="{29513ABC-10EB-4479-82F5-8C7FBAEBF59B}">
    <text>У обрачуну реинвестиција као ROIC је могуће користити циљни ROIC, цену капитала из терминалне године и пројектовану ROIC ово је ствар просуђивања стопа која се користи не би требало да је много већа од цене капитала у терминалној години</text>
  </threadedComment>
  <threadedComment ref="M11" dT="2020-08-19T08:22:51.90" personId="{1BB2C9D5-8C30-4791-8141-01FC92C95FF6}" id="{D74A7E77-69C0-4C76-A6AE-A1029F7B0CF1}">
    <text>Као цену капитала у терминалном периоду могуће је користити и безризичну стопу плус 4,5% као неко својеврсно правило палца али се оно пре свега односи на развијена тржишта</text>
  </threadedComment>
  <threadedComment ref="A12" dT="2020-08-19T08:28:59.39" personId="{1BB2C9D5-8C30-4791-8141-01FC92C95FF6}" id="{AA1CFAC2-A4F4-437E-BC7D-D42F64CE6C36}">
    <text>Дисконтовање се врши средином периода</text>
  </threadedComment>
  <threadedComment ref="M13" dT="2020-08-19T08:48:58.81" personId="{1BB2C9D5-8C30-4791-8141-01FC92C95FF6}" id="{D67917E4-EDB8-4702-A401-020BFF283B06}">
    <text>Терминална вредност</text>
  </threadedComment>
  <threadedComment ref="A20" dT="2020-09-06T09:28:31.68" personId="{1BB2C9D5-8C30-4791-8141-01FC92C95FF6}" id="{2A90F310-89FB-4E18-862A-130C1141BC5B}">
    <text>По потреби укључити и орочена средства које је предузеће класификовало као краткорочне или остале финансијске пласмане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2" dT="2020-08-20T16:58:40.27" personId="{1BB2C9D5-8C30-4791-8141-01FC92C95FF6}" id="{9E49A76B-E991-46C3-8789-6563CDC4C152}">
    <text>Подаци из последњег финансијског извештаја</text>
  </threadedComment>
  <threadedComment ref="C2" dT="2020-08-20T07:47:49.28" personId="{1BB2C9D5-8C30-4791-8141-01FC92C95FF6}" id="{F1EC3CC4-9D81-41FF-BB7D-7303B0DB1144}">
    <text>Секторски просек</text>
  </threadedComment>
  <threadedComment ref="C5" dT="2020-08-26T16:59:41.18" personId="{1BB2C9D5-8C30-4791-8141-01FC92C95FF6}" id="{831C7B53-3D12-4AD4-927A-C2F8514BE526}">
    <text>Коришћен предвиђени множиоц за сектор</text>
  </threadedComment>
  <threadedComment ref="C12" dT="2020-08-26T17:04:22.78" personId="{1BB2C9D5-8C30-4791-8141-01FC92C95FF6}" id="{7D023154-08D4-44CE-9616-8ED9244DF6A2}">
    <text>Коришћен предвиђени просечни множиоц за сектор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3" dT="2020-08-18T16:34:45.37" personId="{1BB2C9D5-8C30-4791-8141-01FC92C95FF6}" id="{54EFF694-1998-4684-B20E-519DFF6992E3}">
    <text>Претпоставка је да стопа раста прихода након пете године равномерно конвергира на стопу раста која је једнака безризичној стопи која се користи у процени</text>
  </threadedComment>
  <threadedComment ref="A5" dT="2020-08-18T17:17:29.45" personId="{1BB2C9D5-8C30-4791-8141-01FC92C95FF6}" id="{90A8F233-066D-48DE-977F-53F8BBE1834E}">
    <text>Претпоставка је да EBIT маржа конвергира за пет година на EBIT маржу упоредивих предузећа</text>
  </threadedComment>
  <threadedComment ref="M9" dT="2020-09-05T08:36:03.50" personId="{1BB2C9D5-8C30-4791-8141-01FC92C95FF6}" id="{3821B7C5-365B-4ED7-AE7B-1045A89EBDF2}">
    <text>У обрачуну реинвестиција као ROIC је могуће користити циљни ROIC, цену капитала из терминалне године и пројектовану ROIC ово је ствар просуђивања стопа која се користи не би требало да је много већа од цене капитала у терминалној години</text>
  </threadedComment>
  <threadedComment ref="M11" dT="2020-08-19T08:22:51.90" personId="{1BB2C9D5-8C30-4791-8141-01FC92C95FF6}" id="{E42CE21E-A6F3-442B-9B95-EA92F737D034}">
    <text>Као цену капитала у терминалном периоду могуће је користити и безризичну стопу плус 4,5% као неко својеврсно правило палца али се оно пре свега односи на развијена тржишта</text>
  </threadedComment>
  <threadedComment ref="A12" dT="2020-08-19T08:28:59.39" personId="{1BB2C9D5-8C30-4791-8141-01FC92C95FF6}" id="{3741BC4D-4C8F-4747-9892-A3321D2E2EC0}">
    <text>Дисконтовање се врши средином периода</text>
  </threadedComment>
  <threadedComment ref="M13" dT="2020-08-19T08:48:58.81" personId="{1BB2C9D5-8C30-4791-8141-01FC92C95FF6}" id="{595669F7-CAE5-47FB-AABE-7FE918A271B6}">
    <text>Терминална вредност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"/>
  <sheetViews>
    <sheetView topLeftCell="A31" workbookViewId="0">
      <selection activeCell="F43" sqref="F43"/>
    </sheetView>
  </sheetViews>
  <sheetFormatPr defaultRowHeight="15" x14ac:dyDescent="0.25"/>
  <cols>
    <col min="1" max="1" width="31.140625" customWidth="1"/>
    <col min="2" max="6" width="9.5703125" bestFit="1" customWidth="1"/>
    <col min="7" max="7" width="10.5703125" customWidth="1"/>
    <col min="10" max="10" width="21.140625" customWidth="1"/>
    <col min="11" max="11" width="17.5703125" customWidth="1"/>
    <col min="13" max="13" width="10.85546875" customWidth="1"/>
  </cols>
  <sheetData>
    <row r="1" spans="1:13" x14ac:dyDescent="0.25">
      <c r="A1" s="23" t="s">
        <v>94</v>
      </c>
      <c r="B1" s="24"/>
      <c r="C1" s="24"/>
      <c r="D1" s="24"/>
      <c r="E1" s="24"/>
      <c r="F1" s="24"/>
      <c r="G1" s="24"/>
    </row>
    <row r="2" spans="1:13" x14ac:dyDescent="0.25">
      <c r="A2" s="2" t="s">
        <v>0</v>
      </c>
      <c r="B2" s="2">
        <v>2015</v>
      </c>
      <c r="C2" s="2">
        <v>2016</v>
      </c>
      <c r="D2" s="2">
        <v>2017</v>
      </c>
      <c r="E2" s="2">
        <v>2018</v>
      </c>
      <c r="F2" s="2">
        <v>2019</v>
      </c>
      <c r="G2" s="2" t="s">
        <v>1</v>
      </c>
    </row>
    <row r="3" spans="1:13" x14ac:dyDescent="0.25">
      <c r="A3" s="1" t="s">
        <v>2</v>
      </c>
      <c r="B3" s="13">
        <v>210691253</v>
      </c>
      <c r="C3" s="13">
        <v>192104367</v>
      </c>
      <c r="D3" s="13">
        <v>234711482</v>
      </c>
      <c r="E3" s="13">
        <v>280983749</v>
      </c>
      <c r="F3" s="13">
        <v>272096500</v>
      </c>
      <c r="G3" s="4"/>
    </row>
    <row r="4" spans="1:13" x14ac:dyDescent="0.25">
      <c r="A4" s="1" t="s">
        <v>3</v>
      </c>
      <c r="B4" s="1"/>
      <c r="C4" s="5">
        <f>(C3-B3)/B3</f>
        <v>-8.8218593488548852E-2</v>
      </c>
      <c r="D4" s="5">
        <f>(D3-C3)/C3</f>
        <v>0.22179149628597458</v>
      </c>
      <c r="E4" s="5">
        <f>(E3-D3)/D3</f>
        <v>0.19714530625306179</v>
      </c>
      <c r="F4" s="5">
        <f>(F3-E3)/E3</f>
        <v>-3.1629049835191714E-2</v>
      </c>
      <c r="G4" s="5">
        <f>AVERAGE(C4:F4)</f>
        <v>7.4772289803823958E-2</v>
      </c>
    </row>
    <row r="5" spans="1:13" x14ac:dyDescent="0.25">
      <c r="A5" s="1" t="s">
        <v>4</v>
      </c>
      <c r="B5" s="13">
        <v>21845788</v>
      </c>
      <c r="C5" s="13">
        <v>20331628</v>
      </c>
      <c r="D5" s="13">
        <v>35666758</v>
      </c>
      <c r="E5" s="13">
        <v>32156185</v>
      </c>
      <c r="F5" s="13">
        <v>22191192</v>
      </c>
      <c r="G5" s="4"/>
    </row>
    <row r="6" spans="1:13" x14ac:dyDescent="0.25">
      <c r="A6" s="1" t="s">
        <v>5</v>
      </c>
      <c r="B6" s="5">
        <f>B5/B3</f>
        <v>0.10368625981829441</v>
      </c>
      <c r="C6" s="5">
        <f>C5/C3</f>
        <v>0.10583636550021791</v>
      </c>
      <c r="D6" s="5">
        <f>D5/D3</f>
        <v>0.15196000509255017</v>
      </c>
      <c r="E6" s="5">
        <f>E5/E3</f>
        <v>0.11444144052615655</v>
      </c>
      <c r="F6" s="5">
        <f>F5/F3</f>
        <v>8.1556330199028651E-2</v>
      </c>
      <c r="G6" s="5">
        <f>AVERAGE(B6:F6)</f>
        <v>0.11149608022724955</v>
      </c>
    </row>
    <row r="7" spans="1:13" x14ac:dyDescent="0.25">
      <c r="A7" s="1" t="s">
        <v>6</v>
      </c>
      <c r="B7" s="13">
        <v>190511680</v>
      </c>
      <c r="C7" s="13">
        <v>201480512</v>
      </c>
      <c r="D7" s="13">
        <v>225051510</v>
      </c>
      <c r="E7" s="13">
        <v>242875804</v>
      </c>
      <c r="F7" s="13">
        <v>254694792</v>
      </c>
      <c r="G7" s="4"/>
    </row>
    <row r="8" spans="1:13" x14ac:dyDescent="0.25">
      <c r="A8" s="1" t="s">
        <v>7</v>
      </c>
      <c r="B8" s="13">
        <v>117285191</v>
      </c>
      <c r="C8" s="13">
        <v>116629176</v>
      </c>
      <c r="D8" s="13">
        <v>96595462</v>
      </c>
      <c r="E8" s="13">
        <v>94214293</v>
      </c>
      <c r="F8" s="13">
        <v>90804828</v>
      </c>
      <c r="G8" s="4"/>
    </row>
    <row r="9" spans="1:13" x14ac:dyDescent="0.25">
      <c r="A9" s="1" t="s">
        <v>11</v>
      </c>
      <c r="B9" s="13">
        <v>19271435</v>
      </c>
      <c r="C9" s="13">
        <v>22899342</v>
      </c>
      <c r="D9" s="13">
        <v>27055370</v>
      </c>
      <c r="E9" s="13">
        <v>15480830</v>
      </c>
      <c r="F9" s="13">
        <v>15295810</v>
      </c>
      <c r="G9" s="4"/>
    </row>
    <row r="10" spans="1:13" x14ac:dyDescent="0.25">
      <c r="A10" s="1" t="s">
        <v>8</v>
      </c>
      <c r="B10" s="4">
        <f>B7+B8-B9</f>
        <v>288525436</v>
      </c>
      <c r="C10" s="4">
        <f>C7+C8-C9</f>
        <v>295210346</v>
      </c>
      <c r="D10" s="4">
        <f>D7+D8-D9</f>
        <v>294591602</v>
      </c>
      <c r="E10" s="4">
        <f>E7+E8-E9</f>
        <v>321609267</v>
      </c>
      <c r="F10" s="4">
        <f>F7+F8-F9</f>
        <v>330203810</v>
      </c>
      <c r="G10" s="4"/>
    </row>
    <row r="11" spans="1:13" x14ac:dyDescent="0.25">
      <c r="A11" s="1" t="s">
        <v>9</v>
      </c>
      <c r="B11" s="4"/>
      <c r="C11" s="5">
        <f>(C5*(1-B19)/((B10+C10)/2))</f>
        <v>5.9211322426693386E-2</v>
      </c>
      <c r="D11" s="5">
        <f>(D5*(1-B19)/((C10+D10)/2))</f>
        <v>0.10280313384112458</v>
      </c>
      <c r="E11" s="5">
        <f>(E5*(1-B19)/((D10+E10)/2))</f>
        <v>8.8713790015768387E-2</v>
      </c>
      <c r="F11" s="5">
        <f>(F5*(1-B19)/((E10+F10)/2))</f>
        <v>5.7877062813208945E-2</v>
      </c>
      <c r="G11" s="4"/>
    </row>
    <row r="12" spans="1:13" ht="24.75" x14ac:dyDescent="0.25">
      <c r="A12" s="3" t="s">
        <v>10</v>
      </c>
      <c r="B12" s="4"/>
      <c r="C12" s="6">
        <f>C3/((B10+C10)/2)</f>
        <v>0.65818945119934413</v>
      </c>
      <c r="D12" s="6">
        <f>D3/((C10+D10)/2)</f>
        <v>0.79589931093276078</v>
      </c>
      <c r="E12" s="6">
        <f>E3/((D10+E10)/2)</f>
        <v>0.91198751295496794</v>
      </c>
      <c r="F12" s="6">
        <f>F3/((E10+F10)/2)</f>
        <v>0.83489119688220059</v>
      </c>
      <c r="G12" s="6">
        <f>AVERAGE(C12:F12)</f>
        <v>0.80024186799231833</v>
      </c>
    </row>
    <row r="13" spans="1:13" x14ac:dyDescent="0.25">
      <c r="A13" s="1" t="s">
        <v>59</v>
      </c>
      <c r="F13" s="13">
        <v>16596402</v>
      </c>
    </row>
    <row r="14" spans="1:13" x14ac:dyDescent="0.25">
      <c r="A14" s="7" t="s">
        <v>12</v>
      </c>
      <c r="J14" s="7" t="s">
        <v>30</v>
      </c>
      <c r="K14" s="1"/>
    </row>
    <row r="15" spans="1:13" x14ac:dyDescent="0.25">
      <c r="A15" s="8" t="s">
        <v>22</v>
      </c>
      <c r="B15" s="9"/>
      <c r="J15" s="8" t="s">
        <v>31</v>
      </c>
      <c r="K15" s="2" t="str">
        <f>A7</f>
        <v>Сопствени капитал</v>
      </c>
      <c r="L15" s="2" t="str">
        <f>A8</f>
        <v>Дуг</v>
      </c>
      <c r="M15" s="2" t="s">
        <v>32</v>
      </c>
    </row>
    <row r="16" spans="1:13" x14ac:dyDescent="0.25">
      <c r="A16" s="1" t="s">
        <v>13</v>
      </c>
      <c r="B16" s="14">
        <v>3.3700000000000001E-2</v>
      </c>
      <c r="J16" s="1" t="s">
        <v>33</v>
      </c>
      <c r="K16" s="4">
        <f>F7</f>
        <v>254694792</v>
      </c>
      <c r="L16" s="4">
        <f>F8</f>
        <v>90804828</v>
      </c>
      <c r="M16" s="4">
        <f>K16+L16</f>
        <v>345499620</v>
      </c>
    </row>
    <row r="17" spans="1:13" x14ac:dyDescent="0.25">
      <c r="A17" s="1" t="s">
        <v>14</v>
      </c>
      <c r="B17" s="14">
        <v>5.1999999999999998E-2</v>
      </c>
      <c r="J17" s="1" t="s">
        <v>34</v>
      </c>
      <c r="K17" s="5">
        <f>K16/M16</f>
        <v>0.73717821165765685</v>
      </c>
      <c r="L17" s="5">
        <f>L16/M16</f>
        <v>0.26282178834234321</v>
      </c>
      <c r="M17" s="5">
        <f>K17+L17</f>
        <v>1</v>
      </c>
    </row>
    <row r="18" spans="1:13" x14ac:dyDescent="0.25">
      <c r="A18" s="1" t="s">
        <v>15</v>
      </c>
      <c r="B18" s="15">
        <v>1.1399999999999999</v>
      </c>
      <c r="J18" s="1" t="s">
        <v>35</v>
      </c>
      <c r="K18" s="5">
        <f>B24</f>
        <v>0.14644453565985754</v>
      </c>
      <c r="L18" s="5">
        <f>B36*(1-B19)</f>
        <v>4.7004999999999998E-2</v>
      </c>
      <c r="M18" s="5">
        <f>K17*K18+L17*L18</f>
        <v>0.12030965906580157</v>
      </c>
    </row>
    <row r="19" spans="1:13" x14ac:dyDescent="0.25">
      <c r="A19" s="1" t="s">
        <v>16</v>
      </c>
      <c r="B19" s="14">
        <v>0.15</v>
      </c>
    </row>
    <row r="20" spans="1:13" x14ac:dyDescent="0.25">
      <c r="A20" s="1" t="s">
        <v>17</v>
      </c>
      <c r="B20" s="10">
        <f>F8/(F7+F8)</f>
        <v>0.26282178834234321</v>
      </c>
    </row>
    <row r="21" spans="1:13" x14ac:dyDescent="0.25">
      <c r="A21" s="1" t="s">
        <v>18</v>
      </c>
      <c r="B21" s="10">
        <f>F7/(F7+F8)</f>
        <v>0.73717821165765685</v>
      </c>
    </row>
    <row r="22" spans="1:13" x14ac:dyDescent="0.25">
      <c r="A22" s="1" t="s">
        <v>19</v>
      </c>
      <c r="B22" s="10">
        <f>B18*(1+(1-B19)*(B20/B21))</f>
        <v>1.485471839612645</v>
      </c>
    </row>
    <row r="23" spans="1:13" x14ac:dyDescent="0.25">
      <c r="A23" s="1" t="s">
        <v>20</v>
      </c>
      <c r="B23" s="14">
        <v>3.5499999999999997E-2</v>
      </c>
    </row>
    <row r="24" spans="1:13" x14ac:dyDescent="0.25">
      <c r="A24" s="1" t="s">
        <v>21</v>
      </c>
      <c r="B24" s="5">
        <f>B16+(B22*B17)+B23</f>
        <v>0.14644453565985754</v>
      </c>
    </row>
    <row r="25" spans="1:13" x14ac:dyDescent="0.25">
      <c r="A25" s="1"/>
      <c r="B25" s="1"/>
    </row>
    <row r="27" spans="1:13" x14ac:dyDescent="0.25">
      <c r="A27" s="7" t="s">
        <v>23</v>
      </c>
    </row>
    <row r="28" spans="1:13" x14ac:dyDescent="0.25">
      <c r="A28" s="8" t="s">
        <v>24</v>
      </c>
      <c r="B28" s="11"/>
    </row>
    <row r="29" spans="1:13" x14ac:dyDescent="0.25">
      <c r="A29" s="1" t="str">
        <f>A5</f>
        <v>EBIT</v>
      </c>
      <c r="B29" s="4">
        <f>F5</f>
        <v>22191192</v>
      </c>
    </row>
    <row r="30" spans="1:13" x14ac:dyDescent="0.25">
      <c r="A30" s="1" t="s">
        <v>25</v>
      </c>
      <c r="B30" s="13">
        <f>1578043+1411282</f>
        <v>2989325</v>
      </c>
    </row>
    <row r="31" spans="1:13" x14ac:dyDescent="0.25">
      <c r="A31" s="1" t="s">
        <v>26</v>
      </c>
      <c r="B31" s="6">
        <f>B29/B30</f>
        <v>7.4234792135348284</v>
      </c>
    </row>
    <row r="32" spans="1:13" x14ac:dyDescent="0.25">
      <c r="A32" s="1" t="s">
        <v>27</v>
      </c>
      <c r="B32" s="16" t="s">
        <v>71</v>
      </c>
    </row>
    <row r="33" spans="1:2" x14ac:dyDescent="0.25">
      <c r="A33" s="1" t="s">
        <v>29</v>
      </c>
      <c r="B33" s="14">
        <v>2.1600000000000001E-2</v>
      </c>
    </row>
    <row r="34" spans="1:2" x14ac:dyDescent="0.25">
      <c r="A34" s="1" t="str">
        <f>A16</f>
        <v>Безризична стопа</v>
      </c>
      <c r="B34" s="5">
        <f>B16</f>
        <v>3.3700000000000001E-2</v>
      </c>
    </row>
    <row r="35" spans="1:2" x14ac:dyDescent="0.25">
      <c r="A35" s="1" t="str">
        <f>A23</f>
        <v>Премија за ризик земље</v>
      </c>
      <c r="B35" s="12"/>
    </row>
    <row r="36" spans="1:2" x14ac:dyDescent="0.25">
      <c r="A36" s="1" t="s">
        <v>28</v>
      </c>
      <c r="B36" s="5">
        <f>B33+B34+B35</f>
        <v>5.5300000000000002E-2</v>
      </c>
    </row>
    <row r="38" spans="1:2" x14ac:dyDescent="0.25">
      <c r="A38" s="7"/>
    </row>
    <row r="39" spans="1:2" x14ac:dyDescent="0.25">
      <c r="A39" s="7" t="s">
        <v>70</v>
      </c>
    </row>
    <row r="40" spans="1:2" x14ac:dyDescent="0.25">
      <c r="A40" s="8" t="s">
        <v>36</v>
      </c>
      <c r="B40" s="11"/>
    </row>
    <row r="41" spans="1:2" x14ac:dyDescent="0.25">
      <c r="A41" s="1" t="s">
        <v>37</v>
      </c>
      <c r="B41" s="17">
        <v>0.108</v>
      </c>
    </row>
    <row r="42" spans="1:2" x14ac:dyDescent="0.25">
      <c r="A42" s="1" t="s">
        <v>38</v>
      </c>
      <c r="B42" s="14">
        <v>0.152</v>
      </c>
    </row>
    <row r="43" spans="1:2" x14ac:dyDescent="0.25">
      <c r="A43" s="1" t="s">
        <v>72</v>
      </c>
      <c r="B43" s="15">
        <v>117.59139999999999</v>
      </c>
    </row>
    <row r="44" spans="1:2" x14ac:dyDescent="0.25">
      <c r="A44" s="1" t="s">
        <v>43</v>
      </c>
      <c r="B44" s="14">
        <f>(3100414+1433301-11107)/21129010</f>
        <v>0.21404732166817092</v>
      </c>
    </row>
    <row r="45" spans="1:2" x14ac:dyDescent="0.25">
      <c r="A45" s="1" t="s">
        <v>46</v>
      </c>
      <c r="B45" s="14">
        <v>0.12089999999999999</v>
      </c>
    </row>
    <row r="46" spans="1:2" ht="24.75" x14ac:dyDescent="0.25">
      <c r="A46" s="3" t="str">
        <f>A12</f>
        <v>Коефицијент обрта инвестираног капитала</v>
      </c>
      <c r="B46" s="20">
        <v>0.5</v>
      </c>
    </row>
  </sheetData>
  <mergeCells count="1">
    <mergeCell ref="A1:G1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topLeftCell="B1" workbookViewId="0">
      <selection activeCell="M13" sqref="M13"/>
    </sheetView>
  </sheetViews>
  <sheetFormatPr defaultRowHeight="15" x14ac:dyDescent="0.25"/>
  <cols>
    <col min="1" max="1" width="33.7109375" customWidth="1"/>
    <col min="2" max="2" width="12.5703125" customWidth="1"/>
    <col min="3" max="3" width="11.140625" customWidth="1"/>
    <col min="4" max="4" width="11.28515625" customWidth="1"/>
    <col min="5" max="5" width="10.5703125" customWidth="1"/>
    <col min="6" max="6" width="11.140625" customWidth="1"/>
    <col min="7" max="7" width="10.85546875" customWidth="1"/>
    <col min="8" max="8" width="11.140625" customWidth="1"/>
    <col min="9" max="9" width="10.5703125" customWidth="1"/>
    <col min="10" max="10" width="10.85546875" customWidth="1"/>
    <col min="11" max="11" width="11.140625" customWidth="1"/>
    <col min="12" max="12" width="10.7109375" customWidth="1"/>
    <col min="13" max="13" width="15.85546875" customWidth="1"/>
  </cols>
  <sheetData>
    <row r="1" spans="1:14" x14ac:dyDescent="0.25">
      <c r="A1" s="25" t="s">
        <v>39</v>
      </c>
      <c r="B1" s="24"/>
      <c r="C1" s="24"/>
      <c r="D1" s="24"/>
    </row>
    <row r="2" spans="1:14" x14ac:dyDescent="0.25">
      <c r="A2" s="2" t="s">
        <v>42</v>
      </c>
      <c r="B2" s="2" t="s">
        <v>40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 t="s">
        <v>41</v>
      </c>
      <c r="N2" s="1"/>
    </row>
    <row r="3" spans="1:14" x14ac:dyDescent="0.25">
      <c r="A3" s="1" t="str">
        <f>Инпути!$A$4</f>
        <v>Стопа раста прихода</v>
      </c>
      <c r="C3" s="5">
        <f>-11%</f>
        <v>-0.11</v>
      </c>
      <c r="D3" s="5">
        <f>Инпути!$G$4</f>
        <v>7.4772289803823958E-2</v>
      </c>
      <c r="E3" s="5">
        <f>Инпути!$G$4</f>
        <v>7.4772289803823958E-2</v>
      </c>
      <c r="F3" s="5">
        <f>Инпути!$G$4</f>
        <v>7.4772289803823958E-2</v>
      </c>
      <c r="G3" s="5">
        <f>Инпути!$G$4</f>
        <v>7.4772289803823958E-2</v>
      </c>
      <c r="H3" s="5">
        <f>G3-((G3-M3)/5)</f>
        <v>6.6557831843059162E-2</v>
      </c>
      <c r="I3" s="5">
        <f>G3-((G3-M3)/5)*2</f>
        <v>5.8343373882294373E-2</v>
      </c>
      <c r="J3" s="5">
        <f>G3-((G3-M3)/5)*3</f>
        <v>5.0128915921529585E-2</v>
      </c>
      <c r="K3" s="5">
        <f>G3-((G3-M3)/5)*4</f>
        <v>4.1914457960764789E-2</v>
      </c>
      <c r="L3" s="5">
        <f>G3-((G3-M3)/5)*5</f>
        <v>3.3699999999999994E-2</v>
      </c>
      <c r="M3" s="5">
        <f>Инпути!$B$16</f>
        <v>3.3700000000000001E-2</v>
      </c>
    </row>
    <row r="4" spans="1:14" x14ac:dyDescent="0.25">
      <c r="A4" s="1" t="str">
        <f>Инпути!$A$3</f>
        <v>Приходи</v>
      </c>
      <c r="B4" s="4">
        <f>(Инпути!$F$3*1000)/Инпути!$B$43</f>
        <v>2313914963.1690755</v>
      </c>
      <c r="C4" s="4">
        <f t="shared" ref="C4:M4" si="0">B4*(1+C3)</f>
        <v>2059384317.2204771</v>
      </c>
      <c r="D4" s="4">
        <f t="shared" si="0"/>
        <v>2213369198.2051368</v>
      </c>
      <c r="E4" s="4">
        <f t="shared" si="0"/>
        <v>2378867881.3361888</v>
      </c>
      <c r="F4" s="4">
        <f t="shared" si="0"/>
        <v>2556741279.964467</v>
      </c>
      <c r="G4" s="4">
        <f t="shared" si="0"/>
        <v>2747914679.9033699</v>
      </c>
      <c r="H4" s="4">
        <f t="shared" si="0"/>
        <v>2930809923.0874519</v>
      </c>
      <c r="I4" s="4">
        <f t="shared" si="0"/>
        <v>3101803262.2080812</v>
      </c>
      <c r="J4" s="4">
        <f t="shared" si="0"/>
        <v>3257293297.1444368</v>
      </c>
      <c r="K4" s="4">
        <f t="shared" si="0"/>
        <v>3393820980.1134787</v>
      </c>
      <c r="L4" s="4">
        <f t="shared" si="0"/>
        <v>3508192747.1433029</v>
      </c>
      <c r="M4" s="4">
        <f t="shared" si="0"/>
        <v>3626418842.7220325</v>
      </c>
    </row>
    <row r="5" spans="1:14" x14ac:dyDescent="0.25">
      <c r="A5" s="1" t="str">
        <f>Инпути!$A$6</f>
        <v>EBIT маржа</v>
      </c>
      <c r="B5" s="5">
        <f>B6/B4</f>
        <v>8.1556330199028651E-2</v>
      </c>
      <c r="C5" s="5">
        <v>1.6E-2</v>
      </c>
      <c r="D5" s="5">
        <f>C5-((C5-Инпути!$B$42)/5)*2</f>
        <v>7.0400000000000004E-2</v>
      </c>
      <c r="E5" s="5">
        <f>C5-((C5-Инпути!$B$42)/5)*3</f>
        <v>9.7600000000000006E-2</v>
      </c>
      <c r="F5" s="5">
        <f>C5-((C5-Инпути!$B$42)/5)*4</f>
        <v>0.12480000000000001</v>
      </c>
      <c r="G5" s="5">
        <f>C5-((C5-Инпути!$B$42)/5)*5</f>
        <v>0.15200000000000002</v>
      </c>
      <c r="H5" s="5">
        <f>Инпути!$B$42</f>
        <v>0.152</v>
      </c>
      <c r="I5" s="5">
        <f>Инпути!$B$42</f>
        <v>0.152</v>
      </c>
      <c r="J5" s="5">
        <f>Инпути!$B$42</f>
        <v>0.152</v>
      </c>
      <c r="K5" s="5">
        <f>Инпути!$B$42</f>
        <v>0.152</v>
      </c>
      <c r="L5" s="5">
        <f>Инпути!$B$42</f>
        <v>0.152</v>
      </c>
      <c r="M5" s="5">
        <f>Инпути!$B$42</f>
        <v>0.152</v>
      </c>
    </row>
    <row r="6" spans="1:14" x14ac:dyDescent="0.25">
      <c r="A6" s="1" t="str">
        <f>Инпути!$A$5</f>
        <v>EBIT</v>
      </c>
      <c r="B6" s="4">
        <f>(Инпути!$F$5*1000)/Инпути!$B$43</f>
        <v>188714412.78869033</v>
      </c>
      <c r="C6" s="4">
        <f>C5*C4</f>
        <v>32950149.075527634</v>
      </c>
      <c r="D6" s="4">
        <f t="shared" ref="D6:M6" si="1">D5*D4</f>
        <v>155821191.55364165</v>
      </c>
      <c r="E6" s="4">
        <f t="shared" si="1"/>
        <v>232177505.21841204</v>
      </c>
      <c r="F6" s="4">
        <f t="shared" si="1"/>
        <v>319081311.73956549</v>
      </c>
      <c r="G6" s="4">
        <f t="shared" si="1"/>
        <v>417683031.3453123</v>
      </c>
      <c r="H6" s="4">
        <f t="shared" si="1"/>
        <v>445483108.30929267</v>
      </c>
      <c r="I6" s="4">
        <f t="shared" si="1"/>
        <v>471474095.85562831</v>
      </c>
      <c r="J6" s="4">
        <f t="shared" si="1"/>
        <v>495108581.16595441</v>
      </c>
      <c r="K6" s="4">
        <f t="shared" si="1"/>
        <v>515860788.97724873</v>
      </c>
      <c r="L6" s="4">
        <f t="shared" si="1"/>
        <v>533245297.56578201</v>
      </c>
      <c r="M6" s="4">
        <f t="shared" si="1"/>
        <v>551215664.09374893</v>
      </c>
    </row>
    <row r="7" spans="1:14" x14ac:dyDescent="0.25">
      <c r="A7" s="1" t="str">
        <f>Инпути!$A$19</f>
        <v>Стопа пореза</v>
      </c>
      <c r="B7" s="5"/>
      <c r="C7" s="5">
        <f>Инпути!$B$19</f>
        <v>0.15</v>
      </c>
      <c r="D7" s="5">
        <f t="shared" ref="D7:M7" si="2">C7</f>
        <v>0.15</v>
      </c>
      <c r="E7" s="5">
        <f t="shared" si="2"/>
        <v>0.15</v>
      </c>
      <c r="F7" s="5">
        <f t="shared" si="2"/>
        <v>0.15</v>
      </c>
      <c r="G7" s="5">
        <f t="shared" si="2"/>
        <v>0.15</v>
      </c>
      <c r="H7" s="5">
        <f t="shared" si="2"/>
        <v>0.15</v>
      </c>
      <c r="I7" s="5">
        <f t="shared" si="2"/>
        <v>0.15</v>
      </c>
      <c r="J7" s="5">
        <f t="shared" si="2"/>
        <v>0.15</v>
      </c>
      <c r="K7" s="5">
        <f t="shared" si="2"/>
        <v>0.15</v>
      </c>
      <c r="L7" s="5">
        <f t="shared" si="2"/>
        <v>0.15</v>
      </c>
      <c r="M7" s="5">
        <f t="shared" si="2"/>
        <v>0.15</v>
      </c>
    </row>
    <row r="8" spans="1:14" x14ac:dyDescent="0.25">
      <c r="A8" s="1" t="s">
        <v>44</v>
      </c>
      <c r="C8" s="4">
        <f t="shared" ref="C8:M8" si="3">C6*(1-C7)</f>
        <v>28007626.714198489</v>
      </c>
      <c r="D8" s="4">
        <f t="shared" si="3"/>
        <v>132448012.8205954</v>
      </c>
      <c r="E8" s="4">
        <f t="shared" si="3"/>
        <v>197350879.43565023</v>
      </c>
      <c r="F8" s="4">
        <f t="shared" si="3"/>
        <v>271219114.97863066</v>
      </c>
      <c r="G8" s="4">
        <f t="shared" si="3"/>
        <v>355030576.64351547</v>
      </c>
      <c r="H8" s="4">
        <f t="shared" si="3"/>
        <v>378660642.06289876</v>
      </c>
      <c r="I8" s="4">
        <f t="shared" si="3"/>
        <v>400752981.47728407</v>
      </c>
      <c r="J8" s="4">
        <f t="shared" si="3"/>
        <v>420842293.99106121</v>
      </c>
      <c r="K8" s="4">
        <f t="shared" si="3"/>
        <v>438481670.63066143</v>
      </c>
      <c r="L8" s="4">
        <f t="shared" si="3"/>
        <v>453258502.9309147</v>
      </c>
      <c r="M8" s="4">
        <f t="shared" si="3"/>
        <v>468533314.47968656</v>
      </c>
    </row>
    <row r="9" spans="1:14" x14ac:dyDescent="0.25">
      <c r="A9" s="1" t="s">
        <v>45</v>
      </c>
      <c r="C9" s="4">
        <v>0</v>
      </c>
      <c r="D9" s="4">
        <f>(D4-C4)/Инпути!$G$12</f>
        <v>192422925.04762799</v>
      </c>
      <c r="E9" s="4">
        <f>(E4-D4)/Инпути!$G$12</f>
        <v>206810827.76418874</v>
      </c>
      <c r="F9" s="4">
        <f>(F4-E4)/Инпути!$G$12</f>
        <v>222274546.91234139</v>
      </c>
      <c r="G9" s="4">
        <f>(G4-F4)/Инпути!$G$12</f>
        <v>238894523.75008446</v>
      </c>
      <c r="H9" s="4">
        <f>(H4-G4)/Инпути!$G$12</f>
        <v>228549955.33155194</v>
      </c>
      <c r="I9" s="4">
        <f>(I4-H4)/Инпути!$G$12</f>
        <v>213677071.84532201</v>
      </c>
      <c r="J9" s="4">
        <f>(J4-I4)/Инпути!$G$12</f>
        <v>194303798.83328995</v>
      </c>
      <c r="K9" s="4">
        <f>(K4-J4)/Инпути!$G$12</f>
        <v>170608022.93632603</v>
      </c>
      <c r="L9" s="4">
        <f>(L4-K4)/Инпути!$G$12</f>
        <v>142921498.61736819</v>
      </c>
      <c r="M9" s="4">
        <f>(M3/M11)*M8</f>
        <v>146199747.20338368</v>
      </c>
    </row>
    <row r="10" spans="1:14" x14ac:dyDescent="0.25">
      <c r="A10" s="1" t="s">
        <v>47</v>
      </c>
      <c r="C10" s="4">
        <f t="shared" ref="C10:M10" si="4">C8-C9</f>
        <v>28007626.714198489</v>
      </c>
      <c r="D10" s="4">
        <f t="shared" si="4"/>
        <v>-59974912.227032587</v>
      </c>
      <c r="E10" s="4">
        <f t="shared" si="4"/>
        <v>-9459948.3285385072</v>
      </c>
      <c r="F10" s="4">
        <f t="shared" si="4"/>
        <v>48944568.066289276</v>
      </c>
      <c r="G10" s="4">
        <f t="shared" si="4"/>
        <v>116136052.89343101</v>
      </c>
      <c r="H10" s="4">
        <f t="shared" si="4"/>
        <v>150110686.73134682</v>
      </c>
      <c r="I10" s="4">
        <f t="shared" si="4"/>
        <v>187075909.63196206</v>
      </c>
      <c r="J10" s="4">
        <f t="shared" si="4"/>
        <v>226538495.15777126</v>
      </c>
      <c r="K10" s="4">
        <f t="shared" si="4"/>
        <v>267873647.6943354</v>
      </c>
      <c r="L10" s="4">
        <f t="shared" si="4"/>
        <v>310337004.31354654</v>
      </c>
      <c r="M10" s="4">
        <f t="shared" si="4"/>
        <v>322333567.27630287</v>
      </c>
    </row>
    <row r="11" spans="1:14" x14ac:dyDescent="0.25">
      <c r="A11" s="1" t="s">
        <v>48</v>
      </c>
      <c r="C11" s="5">
        <f>Инпути!$M$18</f>
        <v>0.12030965906580157</v>
      </c>
      <c r="D11" s="5">
        <f>Инпути!$M$18</f>
        <v>0.12030965906580157</v>
      </c>
      <c r="E11" s="5">
        <f>Инпути!$M$18</f>
        <v>0.12030965906580157</v>
      </c>
      <c r="F11" s="5">
        <f>Инпути!$M$18</f>
        <v>0.12030965906580157</v>
      </c>
      <c r="G11" s="5">
        <f>Инпути!$M$18</f>
        <v>0.12030965906580157</v>
      </c>
      <c r="H11" s="5">
        <f>G11-((G11-M11)/5)</f>
        <v>0.11784772725264125</v>
      </c>
      <c r="I11" s="5">
        <f>G11-((G11-M11)/5)*2</f>
        <v>0.11538579543948094</v>
      </c>
      <c r="J11" s="5">
        <f>G11-((G11-M11)/5)*3</f>
        <v>0.11292386362632063</v>
      </c>
      <c r="K11" s="5">
        <f>G11-((G11-M11)/5)*4</f>
        <v>0.11046193181316032</v>
      </c>
      <c r="L11" s="5">
        <f>G11-((G11-M11)/5)*5</f>
        <v>0.108</v>
      </c>
      <c r="M11" s="5">
        <f>Инпути!$B$41</f>
        <v>0.108</v>
      </c>
    </row>
    <row r="12" spans="1:14" x14ac:dyDescent="0.25">
      <c r="A12" s="1" t="s">
        <v>49</v>
      </c>
      <c r="C12" s="18">
        <f>1/(1+C11)^0.5</f>
        <v>0.94478058446318725</v>
      </c>
      <c r="D12" s="18">
        <f>1/(1+D11)^1.5</f>
        <v>0.84332093079605908</v>
      </c>
      <c r="E12" s="18">
        <f>1/(1+E11)^2.5</f>
        <v>0.75275699354344894</v>
      </c>
      <c r="F12" s="18">
        <f>1/(1+F11)^3.5</f>
        <v>0.67191868556337742</v>
      </c>
      <c r="G12" s="18">
        <f>1/(1+G11)^4.5</f>
        <v>0.59976157495926063</v>
      </c>
      <c r="H12" s="18">
        <f>1/(1+H11)^5.5</f>
        <v>0.54187040875586145</v>
      </c>
      <c r="I12" s="18">
        <f>1/(1+I11)^6.5</f>
        <v>0.49174141759789453</v>
      </c>
      <c r="J12" s="18">
        <f>1/(1+J11)^7.5</f>
        <v>0.44823843089981535</v>
      </c>
      <c r="K12" s="18">
        <f>1/(1+K11)^8.5</f>
        <v>0.41041078340759213</v>
      </c>
      <c r="L12" s="18">
        <f>1/(1+L11)^9.5</f>
        <v>0.37746116525243784</v>
      </c>
      <c r="M12" s="1"/>
    </row>
    <row r="13" spans="1:14" x14ac:dyDescent="0.25">
      <c r="A13" s="1" t="s">
        <v>50</v>
      </c>
      <c r="C13" s="4">
        <f t="shared" ref="C13:L13" si="5">C12*C10</f>
        <v>26461061.936467227</v>
      </c>
      <c r="D13" s="4">
        <f t="shared" si="5"/>
        <v>-50578098.803713068</v>
      </c>
      <c r="E13" s="4">
        <f t="shared" si="5"/>
        <v>-7121042.2628670214</v>
      </c>
      <c r="F13" s="4">
        <f t="shared" si="5"/>
        <v>32886769.840568349</v>
      </c>
      <c r="G13" s="4">
        <f t="shared" si="5"/>
        <v>69653941.992916182</v>
      </c>
      <c r="H13" s="4">
        <f t="shared" si="5"/>
        <v>81340539.177737966</v>
      </c>
      <c r="I13" s="4">
        <f t="shared" si="5"/>
        <v>91992973.000836641</v>
      </c>
      <c r="J13" s="4">
        <f t="shared" si="5"/>
        <v>101543259.6079248</v>
      </c>
      <c r="K13" s="4">
        <f t="shared" si="5"/>
        <v>109938233.60448153</v>
      </c>
      <c r="L13" s="4">
        <f t="shared" si="5"/>
        <v>117140167.26914211</v>
      </c>
      <c r="M13" s="4">
        <f>M10/(Инпути!$B$41-M3)</f>
        <v>4338271430.3674679</v>
      </c>
    </row>
    <row r="15" spans="1:14" x14ac:dyDescent="0.25">
      <c r="A15" s="1" t="s">
        <v>51</v>
      </c>
      <c r="B15" s="4">
        <f>SUM(C13:L13)</f>
        <v>573257805.36349475</v>
      </c>
    </row>
    <row r="16" spans="1:14" x14ac:dyDescent="0.25">
      <c r="A16" s="1" t="s">
        <v>52</v>
      </c>
      <c r="B16" s="4">
        <f>M13*L12</f>
        <v>1637528989.2878647</v>
      </c>
    </row>
    <row r="17" spans="1:2" x14ac:dyDescent="0.25">
      <c r="A17" s="1" t="s">
        <v>53</v>
      </c>
      <c r="B17" s="4">
        <f>B15+B16</f>
        <v>2210786794.6513596</v>
      </c>
    </row>
    <row r="18" spans="1:2" x14ac:dyDescent="0.25">
      <c r="A18" s="1" t="str">
        <f>Инпути!$A$8</f>
        <v>Дуг</v>
      </c>
      <c r="B18" s="4">
        <f>(Инпути!$F$8*1000)/Инпути!$B$43</f>
        <v>772206368.83309495</v>
      </c>
    </row>
    <row r="19" spans="1:2" x14ac:dyDescent="0.25">
      <c r="A19" s="1" t="s">
        <v>54</v>
      </c>
    </row>
    <row r="20" spans="1:2" x14ac:dyDescent="0.25">
      <c r="A20" s="1" t="str">
        <f>Инпути!$A$9</f>
        <v>Готовински еквиваленти и готовина</v>
      </c>
      <c r="B20" s="4">
        <f>(Инпути!$F$9*1000)/Инпути!$B$43</f>
        <v>130075923.91960637</v>
      </c>
    </row>
    <row r="21" spans="1:2" x14ac:dyDescent="0.25">
      <c r="A21" s="1" t="s">
        <v>55</v>
      </c>
    </row>
    <row r="22" spans="1:2" x14ac:dyDescent="0.25">
      <c r="A22" s="2" t="s">
        <v>56</v>
      </c>
      <c r="B22" s="4">
        <f>B17-B18-B19+B20+B21</f>
        <v>1568656349.7378709</v>
      </c>
    </row>
    <row r="23" spans="1:2" x14ac:dyDescent="0.25">
      <c r="A23" s="2" t="s">
        <v>57</v>
      </c>
      <c r="B23" s="4">
        <f>B22*Инпути!$B$43</f>
        <v>184460496284.56586</v>
      </c>
    </row>
    <row r="24" spans="1:2" x14ac:dyDescent="0.25">
      <c r="A24" s="2" t="s">
        <v>58</v>
      </c>
      <c r="B24" s="10">
        <f>B23/(Инпути!$F$7*1000)</f>
        <v>0.72424133542772184</v>
      </c>
    </row>
    <row r="25" spans="1:2" x14ac:dyDescent="0.25">
      <c r="A25" s="2" t="s">
        <v>60</v>
      </c>
      <c r="B25" s="10">
        <f>B23/(Инпути!$F$13*1000)</f>
        <v>11.114487121037792</v>
      </c>
    </row>
    <row r="26" spans="1:2" x14ac:dyDescent="0.25">
      <c r="A26" s="2" t="s">
        <v>61</v>
      </c>
      <c r="B26" s="10">
        <f>B23/(Инпути!$F$3*1000)</f>
        <v>0.67792307613132052</v>
      </c>
    </row>
    <row r="27" spans="1:2" x14ac:dyDescent="0.25">
      <c r="A27" s="2" t="s">
        <v>69</v>
      </c>
      <c r="B27" s="6">
        <f>(B17*Инпути!$B$43)/(Множиоци!$B$6*1000)</f>
        <v>6.0223378089700743</v>
      </c>
    </row>
    <row r="28" spans="1:2" x14ac:dyDescent="0.25">
      <c r="A28" s="19" t="s">
        <v>73</v>
      </c>
      <c r="B28" s="13">
        <v>163060400</v>
      </c>
    </row>
    <row r="29" spans="1:2" x14ac:dyDescent="0.25">
      <c r="A29" s="19" t="s">
        <v>74</v>
      </c>
      <c r="B29" s="4">
        <f>B23/B28</f>
        <v>1131.2403028851018</v>
      </c>
    </row>
    <row r="30" spans="1:2" x14ac:dyDescent="0.25">
      <c r="A30" s="19" t="s">
        <v>75</v>
      </c>
      <c r="B30" s="15">
        <v>585</v>
      </c>
    </row>
    <row r="31" spans="1:2" x14ac:dyDescent="0.25">
      <c r="A31" s="19" t="s">
        <v>76</v>
      </c>
      <c r="B31" s="5">
        <f>B30/B29</f>
        <v>0.51713150469270142</v>
      </c>
    </row>
    <row r="33" spans="1:12" x14ac:dyDescent="0.25">
      <c r="A33" s="22" t="s">
        <v>92</v>
      </c>
    </row>
    <row r="34" spans="1:12" x14ac:dyDescent="0.25">
      <c r="A34" s="1" t="str">
        <f>Инпути!$A$10</f>
        <v>Инвестирани капитал</v>
      </c>
      <c r="B34" s="4">
        <f>(Инпути!$F$10*1000)/Инпути!$B$43</f>
        <v>2808060878.6016665</v>
      </c>
      <c r="C34" s="4">
        <f t="shared" ref="C34:L34" si="6">B34+C9</f>
        <v>2808060878.6016665</v>
      </c>
      <c r="D34" s="4">
        <f t="shared" si="6"/>
        <v>3000483803.6492944</v>
      </c>
      <c r="E34" s="4">
        <f t="shared" si="6"/>
        <v>3207294631.4134831</v>
      </c>
      <c r="F34" s="4">
        <f t="shared" si="6"/>
        <v>3429569178.3258247</v>
      </c>
      <c r="G34" s="4">
        <f t="shared" si="6"/>
        <v>3668463702.0759091</v>
      </c>
      <c r="H34" s="4">
        <f t="shared" si="6"/>
        <v>3897013657.4074612</v>
      </c>
      <c r="I34" s="4">
        <f t="shared" si="6"/>
        <v>4110690729.2527833</v>
      </c>
      <c r="J34" s="4">
        <f t="shared" si="6"/>
        <v>4304994528.0860729</v>
      </c>
      <c r="K34" s="4">
        <f t="shared" si="6"/>
        <v>4475602551.0223989</v>
      </c>
      <c r="L34" s="4">
        <f t="shared" si="6"/>
        <v>4618524049.6397667</v>
      </c>
    </row>
    <row r="35" spans="1:12" x14ac:dyDescent="0.25">
      <c r="A35" s="1" t="str">
        <f>Инпути!$A$11</f>
        <v>ROIC</v>
      </c>
      <c r="B35" s="5">
        <f>Инпути!$F$11</f>
        <v>5.7877062813208945E-2</v>
      </c>
      <c r="C35" s="5">
        <f t="shared" ref="C35:L35" si="7">C8/((B34+C34)/2)</f>
        <v>9.9740097971613359E-3</v>
      </c>
      <c r="D35" s="5">
        <f t="shared" si="7"/>
        <v>4.5604542984859463E-2</v>
      </c>
      <c r="E35" s="5">
        <f t="shared" si="7"/>
        <v>6.3581805149801385E-2</v>
      </c>
      <c r="F35" s="5">
        <f t="shared" si="7"/>
        <v>8.1731107569400011E-2</v>
      </c>
      <c r="G35" s="5">
        <f t="shared" si="7"/>
        <v>0.1000363291141648</v>
      </c>
      <c r="H35" s="5">
        <f t="shared" si="7"/>
        <v>0.10010224710757885</v>
      </c>
      <c r="I35" s="5">
        <f t="shared" si="7"/>
        <v>0.10009185207807733</v>
      </c>
      <c r="J35" s="5">
        <f t="shared" si="7"/>
        <v>0.10001379118214238</v>
      </c>
      <c r="K35" s="5">
        <f t="shared" si="7"/>
        <v>9.9875137574398809E-2</v>
      </c>
      <c r="L35" s="5">
        <f t="shared" si="7"/>
        <v>9.9681590730859582E-2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17" sqref="D17"/>
    </sheetView>
  </sheetViews>
  <sheetFormatPr defaultRowHeight="15" x14ac:dyDescent="0.25"/>
  <cols>
    <col min="1" max="1" width="43.85546875" customWidth="1"/>
    <col min="2" max="2" width="13.7109375" customWidth="1"/>
    <col min="3" max="3" width="11" customWidth="1"/>
    <col min="4" max="4" width="30.28515625" customWidth="1"/>
    <col min="5" max="5" width="31.7109375" customWidth="1"/>
    <col min="6" max="6" width="23.85546875" customWidth="1"/>
  </cols>
  <sheetData>
    <row r="1" spans="1:7" x14ac:dyDescent="0.25">
      <c r="A1" s="7" t="s">
        <v>62</v>
      </c>
      <c r="B1" s="7"/>
      <c r="C1" s="7"/>
      <c r="D1" s="7"/>
      <c r="E1" s="7"/>
    </row>
    <row r="2" spans="1:7" x14ac:dyDescent="0.25">
      <c r="A2" s="2" t="s">
        <v>63</v>
      </c>
      <c r="B2" s="2" t="s">
        <v>64</v>
      </c>
      <c r="C2" s="2" t="s">
        <v>67</v>
      </c>
      <c r="D2" s="2" t="s">
        <v>57</v>
      </c>
      <c r="E2" s="2" t="s">
        <v>65</v>
      </c>
      <c r="F2" s="2" t="str">
        <f>FCFF!$A$29</f>
        <v>Процењена цена акција у рсд</v>
      </c>
      <c r="G2" s="1"/>
    </row>
    <row r="3" spans="1:7" x14ac:dyDescent="0.25">
      <c r="A3" s="1" t="str">
        <f>Инпути!$A$3</f>
        <v>Приходи</v>
      </c>
      <c r="B3" s="4">
        <f>Инпути!$F$3</f>
        <v>272096500</v>
      </c>
      <c r="C3" s="15">
        <v>1.88</v>
      </c>
      <c r="D3" s="4">
        <f>(B3*C3)*1000</f>
        <v>511541420000</v>
      </c>
      <c r="E3" s="4">
        <f>D3/Инпути!$B$43</f>
        <v>4350160130.7578621</v>
      </c>
      <c r="F3" s="4">
        <f>D3/FCFF!$B$28</f>
        <v>3137.1284505618778</v>
      </c>
    </row>
    <row r="4" spans="1:7" x14ac:dyDescent="0.25">
      <c r="A4" s="1" t="str">
        <f>Инпути!$A$7</f>
        <v>Сопствени капитал</v>
      </c>
      <c r="B4" s="4">
        <f>Инпути!$F$7</f>
        <v>254694792</v>
      </c>
      <c r="C4" s="15">
        <v>0.88</v>
      </c>
      <c r="D4" s="4">
        <f>(B4*C4)*1000</f>
        <v>224131416960</v>
      </c>
      <c r="E4" s="4">
        <f>D4/Инпути!$B$43</f>
        <v>1906018781.6455967</v>
      </c>
      <c r="F4" s="4">
        <f>D4/FCFF!$B$28</f>
        <v>1374.5300327976627</v>
      </c>
    </row>
    <row r="5" spans="1:7" x14ac:dyDescent="0.25">
      <c r="A5" s="1" t="str">
        <f>Инпути!$A$13</f>
        <v>Нето добитак</v>
      </c>
      <c r="B5" s="4">
        <f>Инпути!$F$13</f>
        <v>16596402</v>
      </c>
      <c r="C5" s="15">
        <v>12.65</v>
      </c>
      <c r="D5" s="4">
        <f>(B5*C5)*1000</f>
        <v>209944485300</v>
      </c>
      <c r="E5" s="4">
        <f>D5/Инпути!$B$43</f>
        <v>1785372784.9145432</v>
      </c>
      <c r="F5" s="4">
        <f>D5/FCFF!$B$28</f>
        <v>1287.5258818204788</v>
      </c>
    </row>
    <row r="6" spans="1:7" x14ac:dyDescent="0.25">
      <c r="A6" s="1" t="s">
        <v>68</v>
      </c>
      <c r="B6" s="13">
        <v>43167541</v>
      </c>
      <c r="C6" s="15">
        <v>6.29</v>
      </c>
      <c r="D6" s="4">
        <f>(B6*C6)*1000-Инпути!$F$8*1000+Инпути!F9*1000</f>
        <v>196014814890</v>
      </c>
      <c r="E6" s="4">
        <f>D6/Инпути!$B$43</f>
        <v>1666914543.8356888</v>
      </c>
      <c r="F6" s="4">
        <f>D6/FCFF!$B$28</f>
        <v>1202.0994360985255</v>
      </c>
    </row>
    <row r="7" spans="1:7" x14ac:dyDescent="0.25">
      <c r="A7" s="1"/>
      <c r="B7" s="1"/>
      <c r="C7" s="1"/>
      <c r="D7" s="1"/>
      <c r="E7" s="1"/>
      <c r="F7" s="1"/>
    </row>
    <row r="8" spans="1:7" x14ac:dyDescent="0.25">
      <c r="A8" s="7" t="s">
        <v>66</v>
      </c>
    </row>
    <row r="9" spans="1:7" x14ac:dyDescent="0.25">
      <c r="A9" s="2" t="str">
        <f t="shared" ref="A9:F9" si="0">A2</f>
        <v>Позиција</v>
      </c>
      <c r="B9" s="2" t="str">
        <f t="shared" si="0"/>
        <v>Износ у 000 рсд</v>
      </c>
      <c r="C9" s="2" t="str">
        <f t="shared" si="0"/>
        <v>Множиоци</v>
      </c>
      <c r="D9" s="2" t="str">
        <f t="shared" si="0"/>
        <v>Вредност сопственог капитала у рсд</v>
      </c>
      <c r="E9" s="2" t="str">
        <f t="shared" si="0"/>
        <v>Вредност сопственог капитала у еврима</v>
      </c>
      <c r="F9" s="2" t="str">
        <f t="shared" si="0"/>
        <v>Процењена цена акција у рсд</v>
      </c>
    </row>
    <row r="10" spans="1:7" x14ac:dyDescent="0.25">
      <c r="A10" s="1" t="str">
        <f t="shared" ref="A10:B12" si="1">A3</f>
        <v>Приходи</v>
      </c>
      <c r="B10" s="4">
        <f t="shared" si="1"/>
        <v>272096500</v>
      </c>
      <c r="C10" s="20">
        <f>1.92</f>
        <v>1.92</v>
      </c>
      <c r="D10" s="4">
        <f>(B10*C10)*1000</f>
        <v>522425280000</v>
      </c>
      <c r="E10" s="4">
        <f>D10/Инпути!$B$43</f>
        <v>4442716729.2846251</v>
      </c>
      <c r="F10" s="4">
        <f>D10/FCFF!$B$28</f>
        <v>3203.8758644036197</v>
      </c>
    </row>
    <row r="11" spans="1:7" x14ac:dyDescent="0.25">
      <c r="A11" s="1" t="str">
        <f t="shared" si="1"/>
        <v>Сопствени капитал</v>
      </c>
      <c r="B11" s="4">
        <f t="shared" si="1"/>
        <v>254694792</v>
      </c>
      <c r="C11" s="15">
        <v>1.28</v>
      </c>
      <c r="D11" s="4">
        <f>(B11*C11)*1000</f>
        <v>326009333760</v>
      </c>
      <c r="E11" s="4">
        <f>D11/Инпути!$B$43</f>
        <v>2772390955.1208677</v>
      </c>
      <c r="F11" s="4">
        <f>D11/FCFF!$B$28</f>
        <v>1999.3164113420548</v>
      </c>
    </row>
    <row r="12" spans="1:7" x14ac:dyDescent="0.25">
      <c r="A12" s="1" t="str">
        <f t="shared" si="1"/>
        <v>Нето добитак</v>
      </c>
      <c r="B12" s="4">
        <f t="shared" si="1"/>
        <v>16596402</v>
      </c>
      <c r="C12" s="15">
        <v>11.37</v>
      </c>
      <c r="D12" s="4">
        <f>(B12*C12)*1000</f>
        <v>188701090739.99997</v>
      </c>
      <c r="E12" s="4">
        <f>D12/Инпути!$B$43</f>
        <v>1604718463.5951266</v>
      </c>
      <c r="F12" s="4">
        <f>D12/FCFF!$B$28</f>
        <v>1157.2465831066279</v>
      </c>
    </row>
    <row r="13" spans="1:7" x14ac:dyDescent="0.25">
      <c r="A13" s="1" t="str">
        <f>A6</f>
        <v>EBITDA</v>
      </c>
      <c r="B13" s="4">
        <f>B6</f>
        <v>43167541</v>
      </c>
      <c r="C13" s="15">
        <v>5.31</v>
      </c>
      <c r="D13" s="4">
        <f>(B13*C13)*1000-Инпути!$F$8*1000+Инпути!F9*1000</f>
        <v>153710624709.99997</v>
      </c>
      <c r="E13" s="4">
        <f>D13/Инпути!$B$43</f>
        <v>1307158726.8286624</v>
      </c>
      <c r="F13" s="4">
        <f>D13/FCFF!$B$28</f>
        <v>942.66066261336266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"/>
  <sheetViews>
    <sheetView topLeftCell="B1" workbookViewId="0">
      <selection activeCell="N17" sqref="N17"/>
    </sheetView>
  </sheetViews>
  <sheetFormatPr defaultRowHeight="15" x14ac:dyDescent="0.25"/>
  <cols>
    <col min="1" max="1" width="29.42578125" customWidth="1"/>
    <col min="2" max="2" width="15" customWidth="1"/>
    <col min="3" max="3" width="13" customWidth="1"/>
    <col min="4" max="4" width="11.7109375" customWidth="1"/>
    <col min="5" max="6" width="12.140625" customWidth="1"/>
    <col min="7" max="7" width="11.5703125" customWidth="1"/>
    <col min="8" max="8" width="14.7109375" customWidth="1"/>
    <col min="9" max="9" width="11.28515625" customWidth="1"/>
    <col min="10" max="10" width="13.28515625" customWidth="1"/>
    <col min="11" max="11" width="11.28515625" customWidth="1"/>
    <col min="12" max="12" width="11.140625" customWidth="1"/>
    <col min="13" max="13" width="17.28515625" customWidth="1"/>
  </cols>
  <sheetData>
    <row r="1" spans="1:13" x14ac:dyDescent="0.25">
      <c r="A1" s="25" t="s">
        <v>39</v>
      </c>
      <c r="B1" s="24"/>
      <c r="C1" s="24"/>
      <c r="D1" s="24"/>
    </row>
    <row r="2" spans="1:13" x14ac:dyDescent="0.25">
      <c r="A2" s="2" t="s">
        <v>42</v>
      </c>
      <c r="B2" s="2" t="s">
        <v>40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 t="s">
        <v>41</v>
      </c>
    </row>
    <row r="3" spans="1:13" x14ac:dyDescent="0.25">
      <c r="A3" s="1" t="str">
        <f>Инпути!$A$4</f>
        <v>Стопа раста прихода</v>
      </c>
      <c r="C3" s="5">
        <f>-11%</f>
        <v>-0.11</v>
      </c>
      <c r="D3" s="5">
        <f>Инпути!$G$4</f>
        <v>7.4772289803823958E-2</v>
      </c>
      <c r="E3" s="5">
        <f>Инпути!$G$4</f>
        <v>7.4772289803823958E-2</v>
      </c>
      <c r="F3" s="5">
        <f>Инпути!$G$4</f>
        <v>7.4772289803823958E-2</v>
      </c>
      <c r="G3" s="5">
        <f>Инпути!$G$4</f>
        <v>7.4772289803823958E-2</v>
      </c>
      <c r="H3" s="5">
        <f>G3-((G3-M3)/5)</f>
        <v>6.6557831843059162E-2</v>
      </c>
      <c r="I3" s="5">
        <f>G3-((G3-M3)/5)*2</f>
        <v>5.8343373882294373E-2</v>
      </c>
      <c r="J3" s="5">
        <f>G3-((G3-M3)/5)*3</f>
        <v>5.0128915921529585E-2</v>
      </c>
      <c r="K3" s="5">
        <f>G3-((G3-M3)/5)*4</f>
        <v>4.1914457960764789E-2</v>
      </c>
      <c r="L3" s="5">
        <f>G3-((G3-M3)/5)*5</f>
        <v>3.3699999999999994E-2</v>
      </c>
      <c r="M3" s="5">
        <f>Инпути!$B$16</f>
        <v>3.3700000000000001E-2</v>
      </c>
    </row>
    <row r="4" spans="1:13" x14ac:dyDescent="0.25">
      <c r="A4" s="1" t="str">
        <f>Инпути!$A$3</f>
        <v>Приходи</v>
      </c>
      <c r="B4" s="4">
        <f>(Инпути!$F$3*1000)/Инпути!$B$43</f>
        <v>2313914963.1690755</v>
      </c>
      <c r="C4" s="4">
        <f t="shared" ref="C4:M4" si="0">B4*(1+C3)</f>
        <v>2059384317.2204771</v>
      </c>
      <c r="D4" s="4">
        <f t="shared" si="0"/>
        <v>2213369198.2051368</v>
      </c>
      <c r="E4" s="4">
        <f t="shared" si="0"/>
        <v>2378867881.3361888</v>
      </c>
      <c r="F4" s="4">
        <f t="shared" si="0"/>
        <v>2556741279.964467</v>
      </c>
      <c r="G4" s="4">
        <f t="shared" si="0"/>
        <v>2747914679.9033699</v>
      </c>
      <c r="H4" s="4">
        <f t="shared" si="0"/>
        <v>2930809923.0874519</v>
      </c>
      <c r="I4" s="4">
        <f t="shared" si="0"/>
        <v>3101803262.2080812</v>
      </c>
      <c r="J4" s="4">
        <f t="shared" si="0"/>
        <v>3257293297.1444368</v>
      </c>
      <c r="K4" s="4">
        <f t="shared" si="0"/>
        <v>3393820980.1134787</v>
      </c>
      <c r="L4" s="4">
        <f t="shared" si="0"/>
        <v>3508192747.1433029</v>
      </c>
      <c r="M4" s="4">
        <f t="shared" si="0"/>
        <v>3626418842.7220325</v>
      </c>
    </row>
    <row r="5" spans="1:13" x14ac:dyDescent="0.25">
      <c r="A5" s="1" t="str">
        <f>Инпути!$A$6</f>
        <v>EBIT маржа</v>
      </c>
      <c r="B5" s="5">
        <f>B6/B4</f>
        <v>8.1556330199028651E-2</v>
      </c>
      <c r="C5" s="5">
        <v>1.6E-2</v>
      </c>
      <c r="D5" s="5">
        <f>C5-((C5-Инпути!$B$42)/5)*2</f>
        <v>7.0400000000000004E-2</v>
      </c>
      <c r="E5" s="5">
        <f>C5-((C5-Инпути!$B$42)/5)*3</f>
        <v>9.7600000000000006E-2</v>
      </c>
      <c r="F5" s="5">
        <f>C5-((C5-Инпути!$B$42)/5)*4</f>
        <v>0.12480000000000001</v>
      </c>
      <c r="G5" s="5">
        <f>C5-((C5-Инпути!$B$42)/5)*5</f>
        <v>0.15200000000000002</v>
      </c>
      <c r="H5" s="5">
        <f>Инпути!$B$42</f>
        <v>0.152</v>
      </c>
      <c r="I5" s="5">
        <f>Инпути!$B$42</f>
        <v>0.152</v>
      </c>
      <c r="J5" s="5">
        <f>Инпути!$B$42</f>
        <v>0.152</v>
      </c>
      <c r="K5" s="5">
        <f>Инпути!$B$42</f>
        <v>0.152</v>
      </c>
      <c r="L5" s="5">
        <f>Инпути!$B$42</f>
        <v>0.152</v>
      </c>
      <c r="M5" s="5">
        <f>Инпути!$B$42</f>
        <v>0.152</v>
      </c>
    </row>
    <row r="6" spans="1:13" x14ac:dyDescent="0.25">
      <c r="A6" s="1" t="str">
        <f>Инпути!$A$5</f>
        <v>EBIT</v>
      </c>
      <c r="B6" s="4">
        <f>(Инпути!$F$5*1000)/Инпути!$B$43</f>
        <v>188714412.78869033</v>
      </c>
      <c r="C6" s="4">
        <f>C5*C4</f>
        <v>32950149.075527634</v>
      </c>
      <c r="D6" s="4">
        <f t="shared" ref="D6:M6" si="1">D5*D4</f>
        <v>155821191.55364165</v>
      </c>
      <c r="E6" s="4">
        <f t="shared" si="1"/>
        <v>232177505.21841204</v>
      </c>
      <c r="F6" s="4">
        <f t="shared" si="1"/>
        <v>319081311.73956549</v>
      </c>
      <c r="G6" s="4">
        <f t="shared" si="1"/>
        <v>417683031.3453123</v>
      </c>
      <c r="H6" s="4">
        <f t="shared" si="1"/>
        <v>445483108.30929267</v>
      </c>
      <c r="I6" s="4">
        <f t="shared" si="1"/>
        <v>471474095.85562831</v>
      </c>
      <c r="J6" s="4">
        <f t="shared" si="1"/>
        <v>495108581.16595441</v>
      </c>
      <c r="K6" s="4">
        <f t="shared" si="1"/>
        <v>515860788.97724873</v>
      </c>
      <c r="L6" s="4">
        <f t="shared" si="1"/>
        <v>533245297.56578201</v>
      </c>
      <c r="M6" s="4">
        <f t="shared" si="1"/>
        <v>551215664.09374893</v>
      </c>
    </row>
    <row r="7" spans="1:13" x14ac:dyDescent="0.25">
      <c r="A7" s="1" t="str">
        <f>Инпути!$A$19</f>
        <v>Стопа пореза</v>
      </c>
      <c r="B7" s="5"/>
      <c r="C7" s="5">
        <f>Инпути!$B$19</f>
        <v>0.15</v>
      </c>
      <c r="D7" s="5">
        <f t="shared" ref="D7:M7" si="2">C7</f>
        <v>0.15</v>
      </c>
      <c r="E7" s="5">
        <f t="shared" si="2"/>
        <v>0.15</v>
      </c>
      <c r="F7" s="5">
        <f t="shared" si="2"/>
        <v>0.15</v>
      </c>
      <c r="G7" s="5">
        <f t="shared" si="2"/>
        <v>0.15</v>
      </c>
      <c r="H7" s="5">
        <f t="shared" si="2"/>
        <v>0.15</v>
      </c>
      <c r="I7" s="5">
        <f t="shared" si="2"/>
        <v>0.15</v>
      </c>
      <c r="J7" s="5">
        <f t="shared" si="2"/>
        <v>0.15</v>
      </c>
      <c r="K7" s="5">
        <f t="shared" si="2"/>
        <v>0.15</v>
      </c>
      <c r="L7" s="5">
        <f t="shared" si="2"/>
        <v>0.15</v>
      </c>
      <c r="M7" s="5">
        <f t="shared" si="2"/>
        <v>0.15</v>
      </c>
    </row>
    <row r="8" spans="1:13" x14ac:dyDescent="0.25">
      <c r="A8" s="1" t="s">
        <v>44</v>
      </c>
      <c r="C8" s="4">
        <f t="shared" ref="C8:M8" si="3">C6*(1-C7)</f>
        <v>28007626.714198489</v>
      </c>
      <c r="D8" s="4">
        <f t="shared" si="3"/>
        <v>132448012.8205954</v>
      </c>
      <c r="E8" s="4">
        <f t="shared" si="3"/>
        <v>197350879.43565023</v>
      </c>
      <c r="F8" s="4">
        <f t="shared" si="3"/>
        <v>271219114.97863066</v>
      </c>
      <c r="G8" s="4">
        <f t="shared" si="3"/>
        <v>355030576.64351547</v>
      </c>
      <c r="H8" s="4">
        <f t="shared" si="3"/>
        <v>378660642.06289876</v>
      </c>
      <c r="I8" s="4">
        <f t="shared" si="3"/>
        <v>400752981.47728407</v>
      </c>
      <c r="J8" s="4">
        <f t="shared" si="3"/>
        <v>420842293.99106121</v>
      </c>
      <c r="K8" s="4">
        <f t="shared" si="3"/>
        <v>438481670.63066143</v>
      </c>
      <c r="L8" s="4">
        <f t="shared" si="3"/>
        <v>453258502.9309147</v>
      </c>
      <c r="M8" s="4">
        <f t="shared" si="3"/>
        <v>468533314.47968656</v>
      </c>
    </row>
    <row r="9" spans="1:13" x14ac:dyDescent="0.25">
      <c r="A9" s="1" t="s">
        <v>45</v>
      </c>
      <c r="C9" s="4">
        <v>0</v>
      </c>
      <c r="D9" s="4">
        <f>(D4*G39)+(D4-C4)*G51</f>
        <v>195267247.99200585</v>
      </c>
      <c r="E9" s="4">
        <f>(E4*G39)+(E4-D4)*G51</f>
        <v>209867827.24805927</v>
      </c>
      <c r="F9" s="4">
        <f>(F4*G39)+(F4-E4)*G51</f>
        <v>225560125.24755004</v>
      </c>
      <c r="G9" s="4">
        <f>(G4*G39)+(G4-F4)*G51</f>
        <v>242425772.30074665</v>
      </c>
      <c r="H9" s="4">
        <f>(H4*G39)+(H4-G4)*G51</f>
        <v>256552758.99151182</v>
      </c>
      <c r="I9" s="4">
        <f>(I4*G39)+(I4-H4)*G51</f>
        <v>269362396.72231358</v>
      </c>
      <c r="J9" s="4">
        <f>(J4*G39)+(J4-I4)*G51</f>
        <v>280563059.720303</v>
      </c>
      <c r="K9" s="4">
        <f>(K4*G39)+(K4-J4)*G51</f>
        <v>289886209.29091346</v>
      </c>
      <c r="L9" s="4">
        <f>(L4*G39)+(L4-K4)*G51</f>
        <v>297096736.48905444</v>
      </c>
      <c r="M9" s="4">
        <f>(M3/M11)*M8</f>
        <v>146199747.20338368</v>
      </c>
    </row>
    <row r="10" spans="1:13" x14ac:dyDescent="0.25">
      <c r="A10" s="1" t="s">
        <v>47</v>
      </c>
      <c r="C10" s="4">
        <f t="shared" ref="C10:M10" si="4">C8-C9</f>
        <v>28007626.714198489</v>
      </c>
      <c r="D10" s="4">
        <f t="shared" si="4"/>
        <v>-62819235.171410456</v>
      </c>
      <c r="E10" s="4">
        <f t="shared" si="4"/>
        <v>-12516947.812409043</v>
      </c>
      <c r="F10" s="4">
        <f t="shared" si="4"/>
        <v>45658989.731080621</v>
      </c>
      <c r="G10" s="4">
        <f t="shared" si="4"/>
        <v>112604804.34276882</v>
      </c>
      <c r="H10" s="4">
        <f t="shared" si="4"/>
        <v>122107883.07138693</v>
      </c>
      <c r="I10" s="4">
        <f t="shared" si="4"/>
        <v>131390584.75497049</v>
      </c>
      <c r="J10" s="4">
        <f t="shared" si="4"/>
        <v>140279234.27075821</v>
      </c>
      <c r="K10" s="4">
        <f t="shared" si="4"/>
        <v>148595461.33974797</v>
      </c>
      <c r="L10" s="4">
        <f t="shared" si="4"/>
        <v>156161766.44186026</v>
      </c>
      <c r="M10" s="4">
        <f t="shared" si="4"/>
        <v>322333567.27630287</v>
      </c>
    </row>
    <row r="11" spans="1:13" x14ac:dyDescent="0.25">
      <c r="A11" s="1" t="s">
        <v>48</v>
      </c>
      <c r="C11" s="5">
        <f>Инпути!$M$18</f>
        <v>0.12030965906580157</v>
      </c>
      <c r="D11" s="5">
        <f>Инпути!$M$18</f>
        <v>0.12030965906580157</v>
      </c>
      <c r="E11" s="5">
        <f>Инпути!$M$18</f>
        <v>0.12030965906580157</v>
      </c>
      <c r="F11" s="5">
        <f>Инпути!$M$18</f>
        <v>0.12030965906580157</v>
      </c>
      <c r="G11" s="5">
        <f>Инпути!$M$18</f>
        <v>0.12030965906580157</v>
      </c>
      <c r="H11" s="5">
        <f>G11-((G11-M11)/5)</f>
        <v>0.11784772725264125</v>
      </c>
      <c r="I11" s="5">
        <f>G11-((G11-M11)/5)*2</f>
        <v>0.11538579543948094</v>
      </c>
      <c r="J11" s="5">
        <f>G11-((G11-M11)/5)*3</f>
        <v>0.11292386362632063</v>
      </c>
      <c r="K11" s="5">
        <f>G11-((G11-M11)/5)*4</f>
        <v>0.11046193181316032</v>
      </c>
      <c r="L11" s="5">
        <f>G11-((G11-M11)/5)*5</f>
        <v>0.108</v>
      </c>
      <c r="M11" s="5">
        <f>Инпути!$B$41</f>
        <v>0.108</v>
      </c>
    </row>
    <row r="12" spans="1:13" x14ac:dyDescent="0.25">
      <c r="A12" s="1" t="s">
        <v>49</v>
      </c>
      <c r="C12" s="18">
        <f>1/(1+C11)^0.5</f>
        <v>0.94478058446318725</v>
      </c>
      <c r="D12" s="18">
        <f>1/(1+D11)^1.5</f>
        <v>0.84332093079605908</v>
      </c>
      <c r="E12" s="18">
        <f>1/(1+E11)^2.5</f>
        <v>0.75275699354344894</v>
      </c>
      <c r="F12" s="18">
        <f>1/(1+F11)^3.5</f>
        <v>0.67191868556337742</v>
      </c>
      <c r="G12" s="18">
        <f>1/(1+G11)^4.5</f>
        <v>0.59976157495926063</v>
      </c>
      <c r="H12" s="18">
        <f>1/(1+H11)^5.5</f>
        <v>0.54187040875586145</v>
      </c>
      <c r="I12" s="18">
        <f>1/(1+I11)^6.5</f>
        <v>0.49174141759789453</v>
      </c>
      <c r="J12" s="18">
        <f>1/(1+J11)^7.5</f>
        <v>0.44823843089981535</v>
      </c>
      <c r="K12" s="18">
        <f>1/(1+K11)^8.5</f>
        <v>0.41041078340759213</v>
      </c>
      <c r="L12" s="18">
        <f>1/(1+L11)^9.5</f>
        <v>0.37746116525243784</v>
      </c>
      <c r="M12" s="1"/>
    </row>
    <row r="13" spans="1:13" x14ac:dyDescent="0.25">
      <c r="A13" s="1" t="s">
        <v>50</v>
      </c>
      <c r="C13" s="4">
        <f t="shared" ref="C13:L13" si="5">C12*C10</f>
        <v>26461061.936467227</v>
      </c>
      <c r="D13" s="4">
        <f t="shared" si="5"/>
        <v>-52976775.8766504</v>
      </c>
      <c r="E13" s="4">
        <f t="shared" si="5"/>
        <v>-9422220.003609281</v>
      </c>
      <c r="F13" s="4">
        <f t="shared" si="5"/>
        <v>30679128.364259437</v>
      </c>
      <c r="G13" s="4">
        <f t="shared" si="5"/>
        <v>67536034.800598413</v>
      </c>
      <c r="H13" s="4">
        <f t="shared" si="5"/>
        <v>66166648.51220537</v>
      </c>
      <c r="I13" s="4">
        <f t="shared" si="5"/>
        <v>64610192.406425498</v>
      </c>
      <c r="J13" s="4">
        <f t="shared" si="5"/>
        <v>62878543.857352264</v>
      </c>
      <c r="K13" s="4">
        <f t="shared" si="5"/>
        <v>60985179.699258529</v>
      </c>
      <c r="L13" s="4">
        <f t="shared" si="5"/>
        <v>58945002.329023615</v>
      </c>
      <c r="M13" s="4">
        <f>M10/(Инпути!$B$41-M3)</f>
        <v>4338271430.3674679</v>
      </c>
    </row>
    <row r="15" spans="1:13" x14ac:dyDescent="0.25">
      <c r="A15" s="1" t="s">
        <v>51</v>
      </c>
      <c r="B15" s="4">
        <f>SUM(C13:L13)</f>
        <v>375862796.02533066</v>
      </c>
    </row>
    <row r="16" spans="1:13" x14ac:dyDescent="0.25">
      <c r="A16" s="1" t="s">
        <v>52</v>
      </c>
      <c r="B16" s="4">
        <f>M13*L12</f>
        <v>1637528989.2878647</v>
      </c>
    </row>
    <row r="17" spans="1:2" x14ac:dyDescent="0.25">
      <c r="A17" s="1" t="s">
        <v>53</v>
      </c>
      <c r="B17" s="4">
        <f>B15+B16</f>
        <v>2013391785.3131952</v>
      </c>
    </row>
    <row r="18" spans="1:2" x14ac:dyDescent="0.25">
      <c r="A18" s="1" t="str">
        <f>Инпути!$A$8</f>
        <v>Дуг</v>
      </c>
      <c r="B18" s="4">
        <f>(Инпути!$F$8*1000)/Инпути!$B$43</f>
        <v>772206368.83309495</v>
      </c>
    </row>
    <row r="19" spans="1:2" x14ac:dyDescent="0.25">
      <c r="A19" s="1" t="s">
        <v>54</v>
      </c>
    </row>
    <row r="20" spans="1:2" x14ac:dyDescent="0.25">
      <c r="A20" s="1" t="str">
        <f>Инпути!$A$9</f>
        <v>Готовински еквиваленти и готовина</v>
      </c>
      <c r="B20" s="4">
        <f>(Инпути!$F$9*1000)/Инпути!$B$43</f>
        <v>130075923.91960637</v>
      </c>
    </row>
    <row r="21" spans="1:2" x14ac:dyDescent="0.25">
      <c r="A21" s="1" t="s">
        <v>55</v>
      </c>
    </row>
    <row r="22" spans="1:2" x14ac:dyDescent="0.25">
      <c r="A22" s="2" t="s">
        <v>56</v>
      </c>
      <c r="B22" s="4">
        <f>B17-B18-B19+B20+B21</f>
        <v>1371261340.3997066</v>
      </c>
    </row>
    <row r="23" spans="1:2" x14ac:dyDescent="0.25">
      <c r="A23" s="2" t="s">
        <v>57</v>
      </c>
      <c r="B23" s="4">
        <f>B22*Инпути!$B$43</f>
        <v>161248540783.47806</v>
      </c>
    </row>
    <row r="24" spans="1:2" x14ac:dyDescent="0.25">
      <c r="A24" s="2" t="s">
        <v>58</v>
      </c>
      <c r="B24" s="10">
        <f>B23/(Инпути!$F$7*1000)</f>
        <v>0.63310497838321744</v>
      </c>
    </row>
    <row r="25" spans="1:2" x14ac:dyDescent="0.25">
      <c r="A25" s="2" t="s">
        <v>60</v>
      </c>
      <c r="B25" s="10">
        <f>B23/(Инпути!$F$13*1000)</f>
        <v>9.7158734033724929</v>
      </c>
    </row>
    <row r="26" spans="1:2" x14ac:dyDescent="0.25">
      <c r="A26" s="2" t="s">
        <v>61</v>
      </c>
      <c r="B26" s="10">
        <f>B23/(Инпути!$F$3*1000)</f>
        <v>0.59261526988946223</v>
      </c>
    </row>
    <row r="27" spans="1:2" x14ac:dyDescent="0.25">
      <c r="A27" s="2" t="s">
        <v>69</v>
      </c>
      <c r="B27" s="6">
        <f>(B17*Инпути!$B$43)/(Множиоци!$B$6*1000)</f>
        <v>5.4846200014839406</v>
      </c>
    </row>
    <row r="28" spans="1:2" x14ac:dyDescent="0.25">
      <c r="A28" s="19" t="s">
        <v>73</v>
      </c>
      <c r="B28" s="13">
        <v>163060400</v>
      </c>
    </row>
    <row r="29" spans="1:2" x14ac:dyDescent="0.25">
      <c r="A29" s="19" t="s">
        <v>74</v>
      </c>
      <c r="B29" s="4">
        <f>B23/B28</f>
        <v>988.88841670619024</v>
      </c>
    </row>
    <row r="30" spans="1:2" x14ac:dyDescent="0.25">
      <c r="A30" s="19" t="s">
        <v>75</v>
      </c>
      <c r="B30" s="15">
        <v>585</v>
      </c>
    </row>
    <row r="31" spans="1:2" x14ac:dyDescent="0.25">
      <c r="A31" s="19" t="s">
        <v>76</v>
      </c>
      <c r="B31" s="5">
        <f>B30/B29</f>
        <v>0.59157331617709707</v>
      </c>
    </row>
    <row r="34" spans="1:9" x14ac:dyDescent="0.25">
      <c r="A34" s="7" t="s">
        <v>77</v>
      </c>
      <c r="B34" s="1"/>
      <c r="C34" s="1"/>
      <c r="D34" s="1"/>
      <c r="E34" s="1"/>
      <c r="F34" s="1"/>
      <c r="G34" s="1"/>
    </row>
    <row r="35" spans="1:9" x14ac:dyDescent="0.25">
      <c r="A35" s="2" t="s">
        <v>78</v>
      </c>
      <c r="B35" s="2">
        <v>2015</v>
      </c>
      <c r="C35" s="2">
        <v>2016</v>
      </c>
      <c r="D35" s="2">
        <v>2017</v>
      </c>
      <c r="E35" s="2">
        <v>2018</v>
      </c>
      <c r="F35" s="2">
        <v>2019</v>
      </c>
      <c r="G35" s="2" t="s">
        <v>79</v>
      </c>
      <c r="H35" s="2" t="s">
        <v>83</v>
      </c>
      <c r="I35" s="1"/>
    </row>
    <row r="36" spans="1:9" x14ac:dyDescent="0.25">
      <c r="A36" s="1" t="s">
        <v>80</v>
      </c>
      <c r="B36" s="21">
        <v>34544537</v>
      </c>
      <c r="C36" s="21">
        <v>28047839</v>
      </c>
      <c r="D36" s="21">
        <v>30066617</v>
      </c>
      <c r="E36" s="21">
        <v>47089576</v>
      </c>
      <c r="F36" s="21">
        <v>46846795</v>
      </c>
      <c r="G36" s="1"/>
    </row>
    <row r="37" spans="1:9" x14ac:dyDescent="0.25">
      <c r="A37" s="1" t="s">
        <v>81</v>
      </c>
      <c r="B37" s="13">
        <v>14282849</v>
      </c>
      <c r="C37" s="13">
        <v>15889177</v>
      </c>
      <c r="D37" s="13">
        <v>16427278</v>
      </c>
      <c r="E37" s="13">
        <v>20340977</v>
      </c>
      <c r="F37" s="13">
        <v>20976349</v>
      </c>
      <c r="G37" s="1"/>
    </row>
    <row r="38" spans="1:9" x14ac:dyDescent="0.25">
      <c r="A38" s="1" t="s">
        <v>2</v>
      </c>
      <c r="B38" s="4">
        <f>Инпути!$B$3</f>
        <v>210691253</v>
      </c>
      <c r="C38" s="4">
        <f>Инпути!$C$3</f>
        <v>192104367</v>
      </c>
      <c r="D38" s="4">
        <f>Инпути!$D$3</f>
        <v>234711482</v>
      </c>
      <c r="E38" s="4">
        <f>Инпути!$E$3</f>
        <v>280983749</v>
      </c>
      <c r="F38" s="4">
        <f>Инпути!$F$3</f>
        <v>272096500</v>
      </c>
      <c r="G38" s="4"/>
    </row>
    <row r="39" spans="1:9" x14ac:dyDescent="0.25">
      <c r="A39" s="1" t="s">
        <v>82</v>
      </c>
      <c r="B39" s="5">
        <f>(B36-B37)/B38</f>
        <v>9.6167675266519009E-2</v>
      </c>
      <c r="C39" s="5">
        <f>(C36-C37)/C38</f>
        <v>6.3291960458139923E-2</v>
      </c>
      <c r="D39" s="5">
        <f>(D36-D37)/D38</f>
        <v>5.8111085507099307E-2</v>
      </c>
      <c r="E39" s="5">
        <f>(E36-E37)/E38</f>
        <v>9.5196249232193136E-2</v>
      </c>
      <c r="F39" s="5">
        <f>(F36-F37)/F38</f>
        <v>9.5078202034939815E-2</v>
      </c>
      <c r="G39" s="5">
        <f>AVERAGE(B39:F39)</f>
        <v>8.1569034499778245E-2</v>
      </c>
      <c r="H39" s="5">
        <v>4.5600000000000002E-2</v>
      </c>
    </row>
    <row r="42" spans="1:9" x14ac:dyDescent="0.25">
      <c r="A42" s="7" t="s">
        <v>84</v>
      </c>
      <c r="B42" s="1"/>
      <c r="C42" s="1"/>
      <c r="D42" s="1"/>
      <c r="E42" s="1"/>
      <c r="F42" s="1"/>
      <c r="G42" s="1"/>
    </row>
    <row r="43" spans="1:9" x14ac:dyDescent="0.25">
      <c r="A43" s="2" t="s">
        <v>78</v>
      </c>
      <c r="B43" s="2">
        <v>2015</v>
      </c>
      <c r="C43" s="2">
        <v>2016</v>
      </c>
      <c r="D43" s="2">
        <v>2017</v>
      </c>
      <c r="E43" s="2">
        <v>2018</v>
      </c>
      <c r="F43" s="2">
        <v>2019</v>
      </c>
      <c r="G43" s="2" t="s">
        <v>79</v>
      </c>
      <c r="H43" s="2" t="str">
        <f>H35</f>
        <v>Привредна грана</v>
      </c>
      <c r="I43" s="1"/>
    </row>
    <row r="44" spans="1:9" x14ac:dyDescent="0.25">
      <c r="A44" s="1" t="s">
        <v>85</v>
      </c>
      <c r="B44" s="13">
        <v>87400047</v>
      </c>
      <c r="C44" s="13">
        <v>94311133</v>
      </c>
      <c r="D44" s="13">
        <v>106828207</v>
      </c>
      <c r="E44" s="13">
        <v>98902636</v>
      </c>
      <c r="F44" s="13">
        <v>97223713</v>
      </c>
      <c r="G44" s="1"/>
    </row>
    <row r="45" spans="1:9" x14ac:dyDescent="0.25">
      <c r="A45" s="1" t="s">
        <v>86</v>
      </c>
      <c r="B45" s="13">
        <v>284586</v>
      </c>
      <c r="C45" s="13">
        <v>306828</v>
      </c>
      <c r="D45" s="13">
        <v>7742504</v>
      </c>
      <c r="E45" s="13">
        <v>2263431</v>
      </c>
      <c r="F45" s="13">
        <v>1843473</v>
      </c>
      <c r="G45" s="1"/>
    </row>
    <row r="46" spans="1:9" x14ac:dyDescent="0.25">
      <c r="A46" s="1" t="s">
        <v>11</v>
      </c>
      <c r="B46" s="4">
        <f>Инпути!$B$9</f>
        <v>19271435</v>
      </c>
      <c r="C46" s="4">
        <f>Инпути!$C$9</f>
        <v>22899342</v>
      </c>
      <c r="D46" s="4">
        <f>Инпути!$D$9</f>
        <v>27055370</v>
      </c>
      <c r="E46" s="4">
        <f>Инпути!$E$9</f>
        <v>15480830</v>
      </c>
      <c r="F46" s="4">
        <f>Инпути!$F$9</f>
        <v>15295810</v>
      </c>
      <c r="G46" s="1"/>
    </row>
    <row r="47" spans="1:9" x14ac:dyDescent="0.25">
      <c r="A47" s="1" t="s">
        <v>87</v>
      </c>
      <c r="B47" s="13">
        <v>65754320</v>
      </c>
      <c r="C47" s="13">
        <v>68921517</v>
      </c>
      <c r="D47" s="13">
        <v>62240681</v>
      </c>
      <c r="E47" s="13">
        <v>55080332</v>
      </c>
      <c r="F47" s="13">
        <v>65107174</v>
      </c>
      <c r="G47" s="1"/>
    </row>
    <row r="48" spans="1:9" x14ac:dyDescent="0.25">
      <c r="A48" s="1" t="s">
        <v>88</v>
      </c>
      <c r="B48" s="13">
        <v>16971551</v>
      </c>
      <c r="C48" s="13">
        <v>21732658</v>
      </c>
      <c r="D48" s="13">
        <v>6099584</v>
      </c>
      <c r="E48" s="13">
        <v>6395091</v>
      </c>
      <c r="F48" s="13">
        <v>6761897</v>
      </c>
      <c r="G48" s="1"/>
    </row>
    <row r="49" spans="1:13" x14ac:dyDescent="0.25">
      <c r="A49" s="1" t="s">
        <v>89</v>
      </c>
      <c r="B49" s="4">
        <f>B44-B45-B46-B47+B48</f>
        <v>19061257</v>
      </c>
      <c r="C49" s="4">
        <f>C44-C45-C46-C47+C48</f>
        <v>23916104</v>
      </c>
      <c r="D49" s="4">
        <f>D44-D45-D46-D47+D48</f>
        <v>15889236</v>
      </c>
      <c r="E49" s="4">
        <f>E44-E45-E46-E47+E48</f>
        <v>32473134</v>
      </c>
      <c r="F49" s="4">
        <f>F44-F45-F46-F47+F48</f>
        <v>21739153</v>
      </c>
      <c r="G49" s="1"/>
    </row>
    <row r="50" spans="1:13" x14ac:dyDescent="0.25">
      <c r="A50" s="1" t="s">
        <v>91</v>
      </c>
      <c r="B50" s="4">
        <f>B38</f>
        <v>210691253</v>
      </c>
      <c r="C50" s="4">
        <f>C38</f>
        <v>192104367</v>
      </c>
      <c r="D50" s="4">
        <f>D38</f>
        <v>234711482</v>
      </c>
      <c r="E50" s="4">
        <f>E38</f>
        <v>280983749</v>
      </c>
      <c r="F50" s="4">
        <f>F38</f>
        <v>272096500</v>
      </c>
      <c r="G50" s="1"/>
    </row>
    <row r="51" spans="1:13" x14ac:dyDescent="0.25">
      <c r="A51" s="1" t="s">
        <v>90</v>
      </c>
      <c r="B51" s="5">
        <f>B49/B50</f>
        <v>9.047009179825799E-2</v>
      </c>
      <c r="C51" s="5">
        <f>C49/C50</f>
        <v>0.12449536870757343</v>
      </c>
      <c r="D51" s="5">
        <f>D49/D50</f>
        <v>6.7696884126018167E-2</v>
      </c>
      <c r="E51" s="5">
        <f>E49/E50</f>
        <v>0.11556943814569148</v>
      </c>
      <c r="F51" s="5">
        <f>F49/F50</f>
        <v>7.9895011512459729E-2</v>
      </c>
      <c r="G51" s="5">
        <f>AVERAGE(B51:F51)</f>
        <v>9.5625358858000165E-2</v>
      </c>
      <c r="H51" s="5">
        <v>5.4399999999999997E-2</v>
      </c>
    </row>
    <row r="52" spans="1:13" x14ac:dyDescent="0.25">
      <c r="A52" s="1"/>
      <c r="B52" s="1"/>
      <c r="C52" s="1"/>
      <c r="D52" s="1"/>
      <c r="E52" s="1"/>
      <c r="F52" s="1"/>
      <c r="G52" s="1"/>
    </row>
    <row r="53" spans="1:13" x14ac:dyDescent="0.25">
      <c r="A53" s="7" t="str">
        <f>FCFF!$A$33</f>
        <v>Пројектовани ROIC</v>
      </c>
    </row>
    <row r="54" spans="1:13" x14ac:dyDescent="0.25">
      <c r="A54" s="2" t="s">
        <v>93</v>
      </c>
      <c r="B54" s="2" t="s">
        <v>40</v>
      </c>
      <c r="C54" s="2">
        <v>1</v>
      </c>
      <c r="D54" s="2">
        <v>2</v>
      </c>
      <c r="E54" s="2">
        <v>3</v>
      </c>
      <c r="F54" s="2">
        <v>4</v>
      </c>
      <c r="G54" s="2">
        <v>5</v>
      </c>
      <c r="H54" s="2">
        <v>6</v>
      </c>
      <c r="I54" s="2">
        <v>7</v>
      </c>
      <c r="J54" s="2">
        <v>8</v>
      </c>
      <c r="K54" s="2">
        <v>9</v>
      </c>
      <c r="L54" s="2">
        <v>10</v>
      </c>
      <c r="M54" s="2" t="s">
        <v>41</v>
      </c>
    </row>
    <row r="55" spans="1:13" x14ac:dyDescent="0.25">
      <c r="A55" s="1" t="str">
        <f>Инпути!$A$10</f>
        <v>Инвестирани капитал</v>
      </c>
      <c r="B55" s="4">
        <f>FCFF!$B$34</f>
        <v>2808060878.6016665</v>
      </c>
      <c r="C55" s="4">
        <f t="shared" ref="C55:L55" si="6">B55+C9</f>
        <v>2808060878.6016665</v>
      </c>
      <c r="D55" s="4">
        <f t="shared" si="6"/>
        <v>3003328126.5936723</v>
      </c>
      <c r="E55" s="4">
        <f t="shared" si="6"/>
        <v>3213195953.8417315</v>
      </c>
      <c r="F55" s="4">
        <f t="shared" si="6"/>
        <v>3438756079.0892816</v>
      </c>
      <c r="G55" s="4">
        <f t="shared" si="6"/>
        <v>3681181851.390028</v>
      </c>
      <c r="H55" s="4">
        <f t="shared" si="6"/>
        <v>3937734610.3815398</v>
      </c>
      <c r="I55" s="4">
        <f t="shared" si="6"/>
        <v>4207097007.1038532</v>
      </c>
      <c r="J55" s="4">
        <f t="shared" si="6"/>
        <v>4487660066.8241558</v>
      </c>
      <c r="K55" s="4">
        <f t="shared" si="6"/>
        <v>4777546276.1150694</v>
      </c>
      <c r="L55" s="4">
        <f t="shared" si="6"/>
        <v>5074643012.6041241</v>
      </c>
      <c r="M55" s="1"/>
    </row>
    <row r="56" spans="1:13" x14ac:dyDescent="0.25">
      <c r="A56" s="1" t="str">
        <f>Инпути!$A$11</f>
        <v>ROIC</v>
      </c>
      <c r="B56" s="5">
        <f>Инпути!$F$11</f>
        <v>5.7877062813208945E-2</v>
      </c>
      <c r="C56" s="5">
        <f t="shared" ref="C56:L56" si="7">C8/((B55+C55)/2)</f>
        <v>9.9740097971613359E-3</v>
      </c>
      <c r="D56" s="5">
        <f t="shared" si="7"/>
        <v>4.5582222323161586E-2</v>
      </c>
      <c r="E56" s="5">
        <f t="shared" si="7"/>
        <v>6.3492355818825313E-2</v>
      </c>
      <c r="F56" s="5">
        <f t="shared" si="7"/>
        <v>8.1545721807956231E-2</v>
      </c>
      <c r="G56" s="5">
        <f t="shared" si="7"/>
        <v>9.9728559465016312E-2</v>
      </c>
      <c r="H56" s="5">
        <f t="shared" si="7"/>
        <v>9.9400129654355518E-2</v>
      </c>
      <c r="I56" s="5">
        <f t="shared" si="7"/>
        <v>9.8406695263520041E-2</v>
      </c>
      <c r="J56" s="5">
        <f t="shared" si="7"/>
        <v>9.6803692251044876E-2</v>
      </c>
      <c r="K56" s="5">
        <f t="shared" si="7"/>
        <v>9.4651247776001673E-2</v>
      </c>
      <c r="L56" s="5">
        <f t="shared" si="7"/>
        <v>9.2011732549616768E-2</v>
      </c>
      <c r="M56" s="1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Инпути</vt:lpstr>
      <vt:lpstr>FCFF</vt:lpstr>
      <vt:lpstr>Множиоци</vt:lpstr>
      <vt:lpstr>Нормализовани FCFF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Drazenko Lukac</dc:creator>
  <cp:lastModifiedBy>trening</cp:lastModifiedBy>
  <dcterms:created xsi:type="dcterms:W3CDTF">2020-08-14T08:59:50Z</dcterms:created>
  <dcterms:modified xsi:type="dcterms:W3CDTF">2020-12-09T12:35:28Z</dcterms:modified>
</cp:coreProperties>
</file>